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☆料金係長用☆\◎課題\2022年度課題\R4年度料金改定\10_新料金シミュレーション\最終成果物\"/>
    </mc:Choice>
  </mc:AlternateContent>
  <xr:revisionPtr revIDLastSave="0" documentId="13_ncr:1_{FBBC1999-004A-456D-B16F-BF08FD03C4CF}" xr6:coauthVersionLast="36" xr6:coauthVersionMax="47" xr10:uidLastSave="{00000000-0000-0000-0000-000000000000}"/>
  <workbookProtection workbookAlgorithmName="SHA-512" workbookHashValue="aeZkvrNK3m22FABKKOqMvYM+GeESIvO/2d9Rigr3ZTbY3rP3Aq7S6TN+D69BUeILXXs4mxWEfgRQcwpL8P81Ew==" workbookSaltValue="cXptN0lnxe9a/bUf4MYh3g==" workbookSpinCount="100000" lockStructure="1"/>
  <bookViews>
    <workbookView xWindow="-120" yWindow="-120" windowWidth="29040" windowHeight="15990" tabRatio="630" xr2:uid="{265000E4-FC62-479F-8991-A4C60D329B46}"/>
  </bookViews>
  <sheets>
    <sheet name="宇治市 (改定前)" sheetId="10" r:id="rId1"/>
    <sheet name="計算シート (改定前)" sheetId="11" state="hidden" r:id="rId2"/>
  </sheets>
  <definedNames>
    <definedName name="_xlnm.Print_Area" localSheetId="0">'宇治市 (改定前)'!$B$1:$N$60</definedName>
    <definedName name="口径">'計算シート (改定前)'!$D$34:$L$34</definedName>
    <definedName name="用途">'計算シート (改定前)'!$R$29:$R$35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1" l="1"/>
  <c r="C63" i="11"/>
  <c r="C61" i="11"/>
  <c r="K59" i="11"/>
  <c r="C59" i="11"/>
  <c r="K57" i="11"/>
  <c r="C57" i="11"/>
  <c r="K55" i="11"/>
  <c r="C55" i="11"/>
  <c r="K53" i="11"/>
  <c r="C53" i="11"/>
  <c r="C31" i="11"/>
  <c r="C29" i="11"/>
  <c r="C27" i="11"/>
  <c r="K25" i="11"/>
  <c r="C25" i="11"/>
  <c r="K23" i="11"/>
  <c r="C23" i="11"/>
  <c r="K21" i="11"/>
  <c r="C21" i="11"/>
  <c r="K19" i="11"/>
  <c r="C19" i="11"/>
  <c r="J3" i="11"/>
  <c r="H3" i="11"/>
  <c r="F3" i="11"/>
  <c r="C43" i="11" s="1"/>
  <c r="D3" i="11"/>
  <c r="C49" i="11" s="1"/>
  <c r="C2" i="11"/>
  <c r="I20" i="10"/>
  <c r="I17" i="10"/>
  <c r="I14" i="10"/>
  <c r="I11" i="10"/>
  <c r="M3" i="11" l="1"/>
  <c r="K43" i="11"/>
  <c r="Q43" i="11" s="1"/>
  <c r="Q48" i="11" s="1"/>
  <c r="C9" i="11"/>
  <c r="K9" i="11"/>
  <c r="S9" i="11" s="1"/>
  <c r="S14" i="11" s="1"/>
  <c r="F43" i="11"/>
  <c r="F48" i="11" s="1"/>
  <c r="F42" i="11"/>
  <c r="E43" i="11"/>
  <c r="E48" i="11" s="1"/>
  <c r="E42" i="11"/>
  <c r="D43" i="11"/>
  <c r="D48" i="11" s="1"/>
  <c r="D49" i="11" s="1"/>
  <c r="D42" i="11"/>
  <c r="I43" i="11"/>
  <c r="I42" i="11"/>
  <c r="H43" i="11"/>
  <c r="H48" i="11" s="1"/>
  <c r="H42" i="11"/>
  <c r="G43" i="11"/>
  <c r="G48" i="11" s="1"/>
  <c r="G42" i="11"/>
  <c r="C15" i="11"/>
  <c r="D47" i="11" l="1"/>
  <c r="L8" i="11"/>
  <c r="L13" i="11" s="1"/>
  <c r="P8" i="11"/>
  <c r="M8" i="11"/>
  <c r="R8" i="11"/>
  <c r="O8" i="11"/>
  <c r="F47" i="11"/>
  <c r="F49" i="11" s="1"/>
  <c r="N8" i="11"/>
  <c r="S8" i="11"/>
  <c r="Q9" i="11"/>
  <c r="Q14" i="11" s="1"/>
  <c r="N9" i="11"/>
  <c r="N14" i="11" s="1"/>
  <c r="T8" i="11"/>
  <c r="M9" i="11"/>
  <c r="M14" i="11" s="1"/>
  <c r="R9" i="11"/>
  <c r="R14" i="11" s="1"/>
  <c r="O9" i="11"/>
  <c r="O14" i="11" s="1"/>
  <c r="L9" i="11"/>
  <c r="L14" i="11" s="1"/>
  <c r="L15" i="11" s="1"/>
  <c r="Q8" i="11"/>
  <c r="T9" i="11"/>
  <c r="P9" i="11"/>
  <c r="P14" i="11" s="1"/>
  <c r="E47" i="11"/>
  <c r="E49" i="11" s="1"/>
  <c r="G47" i="11"/>
  <c r="G49" i="11" s="1"/>
  <c r="L42" i="11"/>
  <c r="L47" i="11" s="1"/>
  <c r="H9" i="11"/>
  <c r="H14" i="11" s="1"/>
  <c r="M42" i="11"/>
  <c r="P42" i="11"/>
  <c r="S42" i="11"/>
  <c r="N43" i="11"/>
  <c r="N48" i="11" s="1"/>
  <c r="N42" i="11"/>
  <c r="F9" i="11"/>
  <c r="F14" i="11" s="1"/>
  <c r="P43" i="11"/>
  <c r="P48" i="11" s="1"/>
  <c r="E9" i="11"/>
  <c r="E14" i="11" s="1"/>
  <c r="S43" i="11"/>
  <c r="S48" i="11" s="1"/>
  <c r="M43" i="11"/>
  <c r="M48" i="11" s="1"/>
  <c r="D8" i="11"/>
  <c r="D13" i="11" s="1"/>
  <c r="D9" i="11"/>
  <c r="D14" i="11" s="1"/>
  <c r="D15" i="11" s="1"/>
  <c r="O42" i="11"/>
  <c r="T43" i="11"/>
  <c r="H8" i="11"/>
  <c r="Q42" i="11"/>
  <c r="G8" i="11"/>
  <c r="E8" i="11"/>
  <c r="O43" i="11"/>
  <c r="O48" i="11" s="1"/>
  <c r="H47" i="11"/>
  <c r="H49" i="11" s="1"/>
  <c r="I9" i="11"/>
  <c r="F8" i="11"/>
  <c r="L43" i="11"/>
  <c r="L48" i="11" s="1"/>
  <c r="L49" i="11" s="1"/>
  <c r="T42" i="11"/>
  <c r="R42" i="11"/>
  <c r="G9" i="11"/>
  <c r="G14" i="11" s="1"/>
  <c r="I8" i="11"/>
  <c r="R43" i="11"/>
  <c r="R48" i="11" s="1"/>
  <c r="Y8" i="11" l="1"/>
  <c r="K30" i="10" s="1"/>
  <c r="O47" i="11"/>
  <c r="O49" i="11" s="1"/>
  <c r="P13" i="11"/>
  <c r="P15" i="11" s="1"/>
  <c r="F13" i="11"/>
  <c r="F15" i="11" s="1"/>
  <c r="Q13" i="11"/>
  <c r="Q15" i="11" s="1"/>
  <c r="S13" i="11"/>
  <c r="S15" i="11" s="1"/>
  <c r="R47" i="11"/>
  <c r="R49" i="11" s="1"/>
  <c r="G13" i="11"/>
  <c r="G15" i="11" s="1"/>
  <c r="N47" i="11"/>
  <c r="N49" i="11" s="1"/>
  <c r="O13" i="11"/>
  <c r="O15" i="11" s="1"/>
  <c r="N13" i="11"/>
  <c r="N15" i="11" s="1"/>
  <c r="R13" i="11"/>
  <c r="R15" i="11" s="1"/>
  <c r="M13" i="11"/>
  <c r="M15" i="11" s="1"/>
  <c r="Q47" i="11"/>
  <c r="Q49" i="11" s="1"/>
  <c r="E13" i="11"/>
  <c r="E15" i="11" s="1"/>
  <c r="S47" i="11"/>
  <c r="S49" i="11" s="1"/>
  <c r="P47" i="11"/>
  <c r="P49" i="11" s="1"/>
  <c r="H13" i="11"/>
  <c r="H15" i="11" s="1"/>
  <c r="M47" i="11"/>
  <c r="M49" i="11" s="1"/>
  <c r="W8" i="11" l="1"/>
  <c r="W10" i="11"/>
  <c r="E36" i="10" s="1"/>
  <c r="Y10" i="11"/>
  <c r="Y14" i="11" s="1"/>
  <c r="K46" i="10" s="1"/>
  <c r="Y9" i="11"/>
  <c r="Y13" i="11" s="1"/>
  <c r="Y12" i="11"/>
  <c r="K40" i="10" s="1"/>
  <c r="W14" i="11" l="1"/>
  <c r="W17" i="11" s="1"/>
  <c r="E53" i="10" s="1"/>
  <c r="Y17" i="11"/>
  <c r="K53" i="10" s="1"/>
  <c r="K36" i="10"/>
  <c r="K43" i="10"/>
  <c r="Y16" i="11"/>
  <c r="K50" i="10" s="1"/>
  <c r="K33" i="10"/>
  <c r="W9" i="11"/>
  <c r="W12" i="11"/>
  <c r="E40" i="10" s="1"/>
  <c r="E30" i="10"/>
  <c r="E46" i="10" l="1"/>
  <c r="Y19" i="11"/>
  <c r="K57" i="10"/>
  <c r="E33" i="10"/>
  <c r="W13" i="11"/>
  <c r="E43" i="10" l="1"/>
  <c r="W16" i="11"/>
  <c r="W19" i="11" l="1"/>
  <c r="E50" i="10"/>
  <c r="E57" i="10" s="1"/>
</calcChain>
</file>

<file path=xl/sharedStrings.xml><?xml version="1.0" encoding="utf-8"?>
<sst xmlns="http://schemas.openxmlformats.org/spreadsheetml/2006/main" count="196" uniqueCount="92">
  <si>
    <t>メーター使用料</t>
    <rPh sb="4" eb="6">
      <t>シヨウ</t>
    </rPh>
    <rPh sb="6" eb="7">
      <t>リョウ</t>
    </rPh>
    <phoneticPr fontId="1"/>
  </si>
  <si>
    <t>【計算表】</t>
    <rPh sb="1" eb="4">
      <t>ケイサンヒョウ</t>
    </rPh>
    <phoneticPr fontId="1"/>
  </si>
  <si>
    <t>基本</t>
    <rPh sb="0" eb="2">
      <t>キホン</t>
    </rPh>
    <phoneticPr fontId="1"/>
  </si>
  <si>
    <t>口径</t>
    <rPh sb="0" eb="2">
      <t>コウケイ</t>
    </rPh>
    <phoneticPr fontId="1"/>
  </si>
  <si>
    <t>家庭用</t>
  </si>
  <si>
    <t>家庭用</t>
    <rPh sb="0" eb="3">
      <t>カテイヨウ</t>
    </rPh>
    <phoneticPr fontId="1"/>
  </si>
  <si>
    <t>営業用</t>
  </si>
  <si>
    <t>用途</t>
    <rPh sb="0" eb="2">
      <t>ヨウト</t>
    </rPh>
    <phoneticPr fontId="1"/>
  </si>
  <si>
    <t>基本料金</t>
    <rPh sb="0" eb="2">
      <t>キホン</t>
    </rPh>
    <rPh sb="2" eb="4">
      <t>リョウキン</t>
    </rPh>
    <phoneticPr fontId="1"/>
  </si>
  <si>
    <t>ミリ</t>
    <phoneticPr fontId="1"/>
  </si>
  <si>
    <t>円</t>
    <rPh sb="0" eb="1">
      <t>エン</t>
    </rPh>
    <phoneticPr fontId="1"/>
  </si>
  <si>
    <t>官公署団体用</t>
    <phoneticPr fontId="1"/>
  </si>
  <si>
    <t>工場事業所用</t>
    <phoneticPr fontId="1"/>
  </si>
  <si>
    <t>浴場営業用</t>
    <phoneticPr fontId="1"/>
  </si>
  <si>
    <t>臨時工事用</t>
    <phoneticPr fontId="1"/>
  </si>
  <si>
    <t>営業用</t>
    <rPh sb="0" eb="3">
      <t>エイギョウヨウ</t>
    </rPh>
    <phoneticPr fontId="1"/>
  </si>
  <si>
    <t>官公署</t>
    <rPh sb="0" eb="2">
      <t>カンコウ</t>
    </rPh>
    <rPh sb="2" eb="3">
      <t>ショ</t>
    </rPh>
    <phoneticPr fontId="1"/>
  </si>
  <si>
    <t>工場用</t>
    <rPh sb="0" eb="3">
      <t>コウジョウヨウ</t>
    </rPh>
    <phoneticPr fontId="1"/>
  </si>
  <si>
    <t>低所用</t>
    <rPh sb="0" eb="1">
      <t>テイ</t>
    </rPh>
    <rPh sb="1" eb="2">
      <t>ショ</t>
    </rPh>
    <rPh sb="2" eb="3">
      <t>ヨウ</t>
    </rPh>
    <phoneticPr fontId="1"/>
  </si>
  <si>
    <t>浴場用</t>
    <rPh sb="0" eb="3">
      <t>ヨクジョウヨウ</t>
    </rPh>
    <phoneticPr fontId="1"/>
  </si>
  <si>
    <t>臨時用</t>
    <rPh sb="0" eb="2">
      <t>リンジ</t>
    </rPh>
    <rPh sb="2" eb="3">
      <t>ヨウ</t>
    </rPh>
    <phoneticPr fontId="1"/>
  </si>
  <si>
    <t>【消費税別】</t>
    <phoneticPr fontId="1"/>
  </si>
  <si>
    <t>【消費税別】</t>
    <rPh sb="1" eb="4">
      <t>ショウヒゼイ</t>
    </rPh>
    <rPh sb="4" eb="5">
      <t>ベツ</t>
    </rPh>
    <phoneticPr fontId="2"/>
  </si>
  <si>
    <t>超過使用料（円／㎥）</t>
    <rPh sb="0" eb="2">
      <t>チョウカ</t>
    </rPh>
    <rPh sb="2" eb="5">
      <t>シヨウリョウ</t>
    </rPh>
    <rPh sb="6" eb="7">
      <t>エン</t>
    </rPh>
    <phoneticPr fontId="2"/>
  </si>
  <si>
    <t>一般用</t>
    <rPh sb="0" eb="3">
      <t>イッパンヨウ</t>
    </rPh>
    <phoneticPr fontId="2"/>
  </si>
  <si>
    <t>低所得者用</t>
    <rPh sb="0" eb="4">
      <t>テイショトクシャ</t>
    </rPh>
    <rPh sb="4" eb="5">
      <t>ヨウ</t>
    </rPh>
    <phoneticPr fontId="2"/>
  </si>
  <si>
    <t>一時使用用</t>
    <rPh sb="0" eb="2">
      <t>イチジ</t>
    </rPh>
    <rPh sb="2" eb="4">
      <t>シヨウ</t>
    </rPh>
    <rPh sb="4" eb="5">
      <t>ヨウ</t>
    </rPh>
    <phoneticPr fontId="2"/>
  </si>
  <si>
    <t>公衆浴場用</t>
    <rPh sb="0" eb="2">
      <t>コウシュウ</t>
    </rPh>
    <rPh sb="2" eb="4">
      <t>ヨクジョウ</t>
    </rPh>
    <rPh sb="4" eb="5">
      <t>ヨウ</t>
    </rPh>
    <phoneticPr fontId="2"/>
  </si>
  <si>
    <t>一般用</t>
    <phoneticPr fontId="1"/>
  </si>
  <si>
    <t>低所得者用</t>
    <phoneticPr fontId="1"/>
  </si>
  <si>
    <t>公衆浴場用</t>
    <phoneticPr fontId="1"/>
  </si>
  <si>
    <t>メーターの口径など、ご利用されている詳細につきましては、宇治市上下水道部営業課までお問い合わせください。</t>
    <phoneticPr fontId="1"/>
  </si>
  <si>
    <t>集合戸数</t>
    <rPh sb="0" eb="2">
      <t>シュウゴウ</t>
    </rPh>
    <rPh sb="2" eb="4">
      <t>コスウ</t>
    </rPh>
    <phoneticPr fontId="1"/>
  </si>
  <si>
    <t>下水区分</t>
    <rPh sb="0" eb="2">
      <t>ゲスイ</t>
    </rPh>
    <rPh sb="2" eb="4">
      <t>クブン</t>
    </rPh>
    <phoneticPr fontId="2"/>
  </si>
  <si>
    <t>使用水量</t>
    <rPh sb="0" eb="2">
      <t>シヨウ</t>
    </rPh>
    <rPh sb="2" eb="4">
      <t>スイリョウ</t>
    </rPh>
    <phoneticPr fontId="2"/>
  </si>
  <si>
    <t>集合戸数</t>
    <rPh sb="0" eb="2">
      <t>シュウゴウ</t>
    </rPh>
    <rPh sb="2" eb="4">
      <t>コスウ</t>
    </rPh>
    <phoneticPr fontId="2"/>
  </si>
  <si>
    <t>２ヵ月料金</t>
    <rPh sb="1" eb="3">
      <t>カゲツ</t>
    </rPh>
    <rPh sb="3" eb="5">
      <t>リョウキン</t>
    </rPh>
    <phoneticPr fontId="3"/>
  </si>
  <si>
    <t>１ヵ月料金</t>
    <rPh sb="1" eb="3">
      <t>カゲツ</t>
    </rPh>
    <rPh sb="3" eb="5">
      <t>リョウキン</t>
    </rPh>
    <phoneticPr fontId="3"/>
  </si>
  <si>
    <t>メ-タ使用料（消費税別）</t>
    <rPh sb="3" eb="6">
      <t>シヨウリョウ</t>
    </rPh>
    <rPh sb="7" eb="10">
      <t>ショウヒゼイ</t>
    </rPh>
    <rPh sb="10" eb="11">
      <t>ベツ</t>
    </rPh>
    <phoneticPr fontId="3"/>
  </si>
  <si>
    <t>メ-タ使用料（消費税込）</t>
    <rPh sb="3" eb="6">
      <t>シヨウリョウ</t>
    </rPh>
    <rPh sb="7" eb="10">
      <t>ショウヒゼイ</t>
    </rPh>
    <rPh sb="10" eb="11">
      <t>コミ</t>
    </rPh>
    <phoneticPr fontId="3"/>
  </si>
  <si>
    <t>用途</t>
    <rPh sb="0" eb="2">
      <t>ヨウト</t>
    </rPh>
    <phoneticPr fontId="2"/>
  </si>
  <si>
    <t>使用水量÷戸数</t>
    <rPh sb="0" eb="2">
      <t>シヨウ</t>
    </rPh>
    <rPh sb="2" eb="4">
      <t>スイリョウ</t>
    </rPh>
    <rPh sb="5" eb="7">
      <t>コスウ</t>
    </rPh>
    <phoneticPr fontId="2"/>
  </si>
  <si>
    <t>メーター口径</t>
    <rPh sb="4" eb="6">
      <t>コウケイ</t>
    </rPh>
    <phoneticPr fontId="2"/>
  </si>
  <si>
    <t>2か月料金</t>
    <phoneticPr fontId="1"/>
  </si>
  <si>
    <t>1か月料金</t>
    <phoneticPr fontId="1"/>
  </si>
  <si>
    <t>ご使用水量</t>
    <rPh sb="1" eb="3">
      <t>シヨウ</t>
    </rPh>
    <rPh sb="3" eb="5">
      <t>スイリョウ</t>
    </rPh>
    <phoneticPr fontId="1"/>
  </si>
  <si>
    <t>戸</t>
    <rPh sb="0" eb="1">
      <t>コ</t>
    </rPh>
    <phoneticPr fontId="1"/>
  </si>
  <si>
    <t>上水区分</t>
    <rPh sb="0" eb="2">
      <t>ジョウスイ</t>
    </rPh>
    <rPh sb="2" eb="4">
      <t>クブン</t>
    </rPh>
    <phoneticPr fontId="1"/>
  </si>
  <si>
    <t>基本</t>
    <rPh sb="0" eb="2">
      <t>キホン</t>
    </rPh>
    <phoneticPr fontId="2"/>
  </si>
  <si>
    <t>超過使用料（円／㎥）</t>
    <phoneticPr fontId="1"/>
  </si>
  <si>
    <t>二か月分（上水）</t>
    <rPh sb="0" eb="1">
      <t>ニ</t>
    </rPh>
    <rPh sb="2" eb="4">
      <t>ゲツブン</t>
    </rPh>
    <phoneticPr fontId="2"/>
  </si>
  <si>
    <t>二か月分（下水）</t>
    <rPh sb="0" eb="1">
      <t>ニ</t>
    </rPh>
    <rPh sb="2" eb="4">
      <t>ゲツブン</t>
    </rPh>
    <rPh sb="5" eb="7">
      <t>ゲスイ</t>
    </rPh>
    <phoneticPr fontId="2"/>
  </si>
  <si>
    <t>一か月分（上水）</t>
    <rPh sb="0" eb="1">
      <t>１</t>
    </rPh>
    <rPh sb="2" eb="4">
      <t>ゲツブン</t>
    </rPh>
    <rPh sb="5" eb="7">
      <t>ジョウスイ</t>
    </rPh>
    <phoneticPr fontId="2"/>
  </si>
  <si>
    <t>一か月分（下水）</t>
    <rPh sb="0" eb="1">
      <t>１</t>
    </rPh>
    <rPh sb="2" eb="4">
      <t>ゲツブン</t>
    </rPh>
    <rPh sb="5" eb="6">
      <t>シタ</t>
    </rPh>
    <rPh sb="6" eb="7">
      <t>スイ</t>
    </rPh>
    <phoneticPr fontId="2"/>
  </si>
  <si>
    <t>↓メーター使用料↓</t>
    <phoneticPr fontId="1"/>
  </si>
  <si>
    <t>第1段</t>
    <rPh sb="0" eb="1">
      <t>ダイ</t>
    </rPh>
    <rPh sb="2" eb="3">
      <t>ダン</t>
    </rPh>
    <phoneticPr fontId="1"/>
  </si>
  <si>
    <t>第2段</t>
    <rPh sb="0" eb="1">
      <t>ダイ</t>
    </rPh>
    <rPh sb="2" eb="3">
      <t>ダン</t>
    </rPh>
    <phoneticPr fontId="1"/>
  </si>
  <si>
    <t>第3段</t>
    <rPh sb="0" eb="1">
      <t>ダイ</t>
    </rPh>
    <rPh sb="2" eb="3">
      <t>ダン</t>
    </rPh>
    <phoneticPr fontId="1"/>
  </si>
  <si>
    <t>第4段</t>
    <rPh sb="0" eb="1">
      <t>ダイ</t>
    </rPh>
    <rPh sb="2" eb="3">
      <t>ダン</t>
    </rPh>
    <phoneticPr fontId="1"/>
  </si>
  <si>
    <t>超過使用料（円／㎥）</t>
    <rPh sb="0" eb="2">
      <t>チョウカ</t>
    </rPh>
    <rPh sb="2" eb="5">
      <t>シヨウリョウ</t>
    </rPh>
    <rPh sb="6" eb="7">
      <t>エン</t>
    </rPh>
    <phoneticPr fontId="1"/>
  </si>
  <si>
    <t>第5段</t>
    <rPh sb="0" eb="1">
      <t>ダイ</t>
    </rPh>
    <rPh sb="2" eb="3">
      <t>ダン</t>
    </rPh>
    <phoneticPr fontId="1"/>
  </si>
  <si>
    <t>第6段</t>
    <rPh sb="0" eb="1">
      <t>ダイ</t>
    </rPh>
    <rPh sb="2" eb="3">
      <t>ダン</t>
    </rPh>
    <phoneticPr fontId="1"/>
  </si>
  <si>
    <t>第7段</t>
    <rPh sb="0" eb="1">
      <t>ダイ</t>
    </rPh>
    <rPh sb="2" eb="3">
      <t>ダン</t>
    </rPh>
    <phoneticPr fontId="1"/>
  </si>
  <si>
    <t>立方メートル</t>
    <rPh sb="0" eb="2">
      <t>リッポウ</t>
    </rPh>
    <phoneticPr fontId="1"/>
  </si>
  <si>
    <t>一般用</t>
  </si>
  <si>
    <t>低所得者用</t>
    <rPh sb="0" eb="4">
      <t>テイショトクシャ</t>
    </rPh>
    <rPh sb="4" eb="5">
      <t>ヨウ</t>
    </rPh>
    <phoneticPr fontId="1"/>
  </si>
  <si>
    <t>試算されました料金につきましては、参考料金となり、実際の請求額と異なる場合がありますのでご注意ください。</t>
    <phoneticPr fontId="1"/>
  </si>
  <si>
    <r>
      <rPr>
        <b/>
        <sz val="7"/>
        <color theme="9" tint="-0.249977111117893"/>
        <rFont val="Meiryo UI"/>
        <family val="3"/>
        <charset val="128"/>
      </rPr>
      <t xml:space="preserve">● </t>
    </r>
    <r>
      <rPr>
        <b/>
        <sz val="7"/>
        <color theme="1"/>
        <rFont val="Meiryo UI"/>
        <family val="3"/>
        <charset val="128"/>
      </rPr>
      <t>料金シミュレーション結果</t>
    </r>
    <rPh sb="2" eb="4">
      <t>リョウキン</t>
    </rPh>
    <rPh sb="12" eb="14">
      <t>ケッカ</t>
    </rPh>
    <phoneticPr fontId="1"/>
  </si>
  <si>
    <r>
      <rPr>
        <b/>
        <sz val="7"/>
        <color theme="9" tint="-0.249977111117893"/>
        <rFont val="Meiryo UI"/>
        <family val="3"/>
        <charset val="128"/>
      </rPr>
      <t xml:space="preserve">● </t>
    </r>
    <r>
      <rPr>
        <b/>
        <sz val="7"/>
        <color theme="1"/>
        <rFont val="Meiryo UI"/>
        <family val="3"/>
        <charset val="128"/>
      </rPr>
      <t>以下の項目に入力するだけで、簡単に料金を計算できます。</t>
    </r>
    <rPh sb="2" eb="4">
      <t>イカ</t>
    </rPh>
    <rPh sb="5" eb="7">
      <t>コウモク</t>
    </rPh>
    <rPh sb="8" eb="10">
      <t>ニュウリョク</t>
    </rPh>
    <rPh sb="16" eb="18">
      <t>カンタン</t>
    </rPh>
    <rPh sb="19" eb="21">
      <t>リョウキン</t>
    </rPh>
    <rPh sb="22" eb="24">
      <t>ケイサン</t>
    </rPh>
    <phoneticPr fontId="1"/>
  </si>
  <si>
    <t>水道料金（消費税別）</t>
    <rPh sb="5" eb="8">
      <t>ショウヒゼイ</t>
    </rPh>
    <rPh sb="8" eb="9">
      <t>ベツ</t>
    </rPh>
    <phoneticPr fontId="3"/>
  </si>
  <si>
    <t>水道料金（消費税込）</t>
    <rPh sb="5" eb="7">
      <t>ショウヒゼイ</t>
    </rPh>
    <rPh sb="7" eb="8">
      <t>ゼイ</t>
    </rPh>
    <rPh sb="8" eb="9">
      <t>コ</t>
    </rPh>
    <phoneticPr fontId="3"/>
  </si>
  <si>
    <t>水道料金表（2ヶ月）</t>
    <rPh sb="4" eb="5">
      <t>ヒョウ</t>
    </rPh>
    <rPh sb="8" eb="9">
      <t>ゲツ</t>
    </rPh>
    <phoneticPr fontId="2"/>
  </si>
  <si>
    <t>水道料金表（1ヶ月）</t>
    <rPh sb="4" eb="5">
      <t>ヒョウ</t>
    </rPh>
    <rPh sb="8" eb="9">
      <t>ゲツ</t>
    </rPh>
    <phoneticPr fontId="2"/>
  </si>
  <si>
    <t>下水道使用料表（2ヶ月）</t>
  </si>
  <si>
    <t>下水道使用料表（1ヶ月）</t>
    <rPh sb="3" eb="5">
      <t>シヨウ</t>
    </rPh>
    <phoneticPr fontId="2"/>
  </si>
  <si>
    <t xml:space="preserve"> 宇治市　水道料金・下水道使用料シミュレーション</t>
    <rPh sb="1" eb="4">
      <t>ウジシ</t>
    </rPh>
    <rPh sb="5" eb="7">
      <t>スイドウ</t>
    </rPh>
    <rPh sb="7" eb="9">
      <t>リョウキン</t>
    </rPh>
    <phoneticPr fontId="1"/>
  </si>
  <si>
    <t>合計（消費税込）</t>
    <phoneticPr fontId="1"/>
  </si>
  <si>
    <t>下水道使用料（消費税別）</t>
    <rPh sb="3" eb="6">
      <t>シヨウリョウ</t>
    </rPh>
    <phoneticPr fontId="1"/>
  </si>
  <si>
    <t>下水道使用料（消費税込）</t>
    <rPh sb="3" eb="6">
      <t>シヨウリョウ</t>
    </rPh>
    <phoneticPr fontId="3"/>
  </si>
  <si>
    <t>上水道合計（消費税込）</t>
    <rPh sb="0" eb="3">
      <t>ジョウスイドウ</t>
    </rPh>
    <rPh sb="3" eb="5">
      <t>ゴウケイ</t>
    </rPh>
    <rPh sb="6" eb="9">
      <t>ショウヒゼイ</t>
    </rPh>
    <rPh sb="9" eb="10">
      <t>コミ</t>
    </rPh>
    <phoneticPr fontId="3"/>
  </si>
  <si>
    <t>下水道合計（消費税込）</t>
    <rPh sb="3" eb="5">
      <t>ゴウケイ</t>
    </rPh>
    <phoneticPr fontId="3"/>
  </si>
  <si>
    <t>下水道使用料（消費税込）</t>
    <rPh sb="3" eb="6">
      <t>シヨウリョウ</t>
    </rPh>
    <phoneticPr fontId="1"/>
  </si>
  <si>
    <t>合計（消費税込）</t>
    <rPh sb="0" eb="2">
      <t>ゴウケイ</t>
    </rPh>
    <rPh sb="3" eb="5">
      <t>ショウヒ</t>
    </rPh>
    <rPh sb="5" eb="7">
      <t>ゼイコ</t>
    </rPh>
    <phoneticPr fontId="3"/>
  </si>
  <si>
    <t xml:space="preserve"> 水道料金（消費税別）</t>
    <rPh sb="9" eb="10">
      <t>ベツ</t>
    </rPh>
    <phoneticPr fontId="1"/>
  </si>
  <si>
    <t xml:space="preserve"> メーター使用料（消費税別）</t>
    <rPh sb="5" eb="7">
      <t>シヨウ</t>
    </rPh>
    <rPh sb="7" eb="8">
      <t>リョウ</t>
    </rPh>
    <phoneticPr fontId="1"/>
  </si>
  <si>
    <t xml:space="preserve"> 下水道使用料（消費税別）</t>
    <phoneticPr fontId="1"/>
  </si>
  <si>
    <t xml:space="preserve"> 水道料金（消費税込）</t>
    <rPh sb="6" eb="9">
      <t>ショウヒゼイ</t>
    </rPh>
    <rPh sb="9" eb="10">
      <t>コ</t>
    </rPh>
    <phoneticPr fontId="1"/>
  </si>
  <si>
    <t xml:space="preserve"> メーター使用料（消費税込）</t>
    <rPh sb="5" eb="7">
      <t>シヨウ</t>
    </rPh>
    <rPh sb="7" eb="8">
      <t>リョウ</t>
    </rPh>
    <phoneticPr fontId="1"/>
  </si>
  <si>
    <t xml:space="preserve"> 下水道使用料（消費税込）</t>
    <phoneticPr fontId="1"/>
  </si>
  <si>
    <t xml:space="preserve"> 上水道合計（消費税込）</t>
    <phoneticPr fontId="1"/>
  </si>
  <si>
    <t xml:space="preserve"> 下水道合計（消費税込）</t>
    <phoneticPr fontId="1"/>
  </si>
  <si>
    <t xml:space="preserve"> 水道料金（消費税別）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</si>
</sst>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);[Red]\(#,##0\)"/>
    <numFmt numFmtId="177" formatCode="&quot;¥&quot;#,##0_);[Red]\(&quot;¥&quot;#,##0\)"/>
    <numFmt numFmtId="178" formatCode="#,##0_ "/>
    <numFmt numFmtId="179" formatCode="&quot;消費税率&quot;0%"/>
    <numFmt numFmtId="180" formatCode="#,##0.00_ 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rgb="FFC00000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9" tint="0.79998168889431442"/>
      <name val="Meiryo UI"/>
      <family val="3"/>
      <charset val="128"/>
    </font>
    <font>
      <b/>
      <sz val="16"/>
      <color theme="9" tint="-0.249977111117893"/>
      <name val="Meiryo UI"/>
      <family val="3"/>
      <charset val="128"/>
    </font>
    <font>
      <sz val="11"/>
      <color rgb="FFEBF9D7"/>
      <name val="Meiryo UI"/>
      <family val="3"/>
      <charset val="128"/>
    </font>
    <font>
      <b/>
      <sz val="16"/>
      <color rgb="FF92D05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rgb="FFC0000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sz val="6"/>
      <color theme="1"/>
      <name val="Meiryo UI"/>
      <family val="3"/>
      <charset val="128"/>
    </font>
    <font>
      <sz val="6"/>
      <name val="Meiryo UI"/>
      <family val="3"/>
      <charset val="128"/>
    </font>
    <font>
      <b/>
      <sz val="7"/>
      <color theme="1"/>
      <name val="Meiryo UI"/>
      <family val="3"/>
      <charset val="128"/>
    </font>
    <font>
      <b/>
      <sz val="7"/>
      <color theme="9" tint="-0.249977111117893"/>
      <name val="Meiryo UI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6"/>
      <color theme="1"/>
      <name val="Meiryo UI"/>
      <family val="3"/>
      <charset val="128"/>
    </font>
    <font>
      <b/>
      <sz val="6"/>
      <color theme="1"/>
      <name val="游ゴシック"/>
      <family val="2"/>
      <charset val="128"/>
      <scheme val="minor"/>
    </font>
    <font>
      <sz val="6"/>
      <color rgb="FFC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5418"/>
        <bgColor indexed="64"/>
      </patternFill>
    </fill>
    <fill>
      <patternFill patternType="solid">
        <fgColor rgb="FFE5EEE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BF9D7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dotted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dotted">
        <color theme="0" tint="-0.24994659260841701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DashDot">
        <color theme="9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9" tint="-0.499984740745262"/>
      </right>
      <top style="medium">
        <color theme="9" tint="-0.499984740745262"/>
      </top>
      <bottom/>
      <diagonal/>
    </border>
    <border>
      <left/>
      <right style="thin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shrinkToFit="1"/>
    </xf>
    <xf numFmtId="0" fontId="3" fillId="0" borderId="0" xfId="0" applyFont="1">
      <alignment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vertical="center" shrinkToFit="1"/>
    </xf>
    <xf numFmtId="176" fontId="8" fillId="0" borderId="2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>
      <alignment vertical="center"/>
    </xf>
    <xf numFmtId="0" fontId="0" fillId="0" borderId="2" xfId="0" applyBorder="1">
      <alignment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shrinkToFit="1"/>
    </xf>
    <xf numFmtId="176" fontId="3" fillId="4" borderId="2" xfId="0" applyNumberFormat="1" applyFont="1" applyFill="1" applyBorder="1">
      <alignment vertical="center"/>
    </xf>
    <xf numFmtId="176" fontId="3" fillId="4" borderId="3" xfId="0" applyNumberFormat="1" applyFont="1" applyFill="1" applyBorder="1" applyAlignment="1">
      <alignment horizontal="center" vertical="center" shrinkToFit="1"/>
    </xf>
    <xf numFmtId="176" fontId="12" fillId="4" borderId="4" xfId="0" applyNumberFormat="1" applyFont="1" applyFill="1" applyBorder="1" applyAlignment="1">
      <alignment horizontal="center" vertical="center"/>
    </xf>
    <xf numFmtId="176" fontId="12" fillId="4" borderId="4" xfId="0" applyNumberFormat="1" applyFont="1" applyFill="1" applyBorder="1" applyAlignment="1">
      <alignment horizontal="center" vertical="center" shrinkToFit="1"/>
    </xf>
    <xf numFmtId="176" fontId="3" fillId="4" borderId="23" xfId="0" applyNumberFormat="1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38" fontId="3" fillId="0" borderId="2" xfId="1" applyFont="1" applyBorder="1">
      <alignment vertical="center"/>
    </xf>
    <xf numFmtId="176" fontId="3" fillId="5" borderId="23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 shrinkToFit="1"/>
    </xf>
    <xf numFmtId="176" fontId="3" fillId="5" borderId="3" xfId="0" applyNumberFormat="1" applyFont="1" applyFill="1" applyBorder="1" applyAlignment="1">
      <alignment horizontal="center" vertical="center" shrinkToFit="1"/>
    </xf>
    <xf numFmtId="0" fontId="3" fillId="5" borderId="23" xfId="0" applyFont="1" applyFill="1" applyBorder="1" applyAlignment="1">
      <alignment horizontal="center" vertical="center"/>
    </xf>
    <xf numFmtId="176" fontId="12" fillId="5" borderId="4" xfId="0" applyNumberFormat="1" applyFont="1" applyFill="1" applyBorder="1" applyAlignment="1">
      <alignment horizontal="center" vertical="center" shrinkToFit="1"/>
    </xf>
    <xf numFmtId="180" fontId="3" fillId="4" borderId="2" xfId="0" applyNumberFormat="1" applyFont="1" applyFill="1" applyBorder="1" applyAlignment="1">
      <alignment vertical="center" shrinkToFit="1"/>
    </xf>
    <xf numFmtId="180" fontId="8" fillId="4" borderId="2" xfId="0" applyNumberFormat="1" applyFont="1" applyFill="1" applyBorder="1" applyAlignment="1">
      <alignment vertical="center" shrinkToFit="1"/>
    </xf>
    <xf numFmtId="176" fontId="12" fillId="4" borderId="4" xfId="0" applyNumberFormat="1" applyFont="1" applyFill="1" applyBorder="1" applyAlignment="1">
      <alignment vertical="center" shrinkToFit="1"/>
    </xf>
    <xf numFmtId="176" fontId="3" fillId="5" borderId="22" xfId="0" applyNumberFormat="1" applyFont="1" applyFill="1" applyBorder="1" applyAlignment="1">
      <alignment horizontal="center" vertical="center"/>
    </xf>
    <xf numFmtId="176" fontId="12" fillId="5" borderId="4" xfId="0" applyNumberFormat="1" applyFont="1" applyFill="1" applyBorder="1">
      <alignment vertical="center"/>
    </xf>
    <xf numFmtId="176" fontId="3" fillId="5" borderId="2" xfId="0" applyNumberFormat="1" applyFont="1" applyFill="1" applyBorder="1">
      <alignment vertical="center"/>
    </xf>
    <xf numFmtId="176" fontId="14" fillId="5" borderId="4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vertical="center" shrinkToFit="1"/>
    </xf>
    <xf numFmtId="180" fontId="8" fillId="5" borderId="2" xfId="0" applyNumberFormat="1" applyFont="1" applyFill="1" applyBorder="1" applyAlignment="1">
      <alignment vertical="center" shrinkToFit="1"/>
    </xf>
    <xf numFmtId="0" fontId="0" fillId="0" borderId="42" xfId="0" applyBorder="1">
      <alignment vertical="center"/>
    </xf>
    <xf numFmtId="176" fontId="8" fillId="0" borderId="43" xfId="0" applyNumberFormat="1" applyFont="1" applyBorder="1" applyAlignment="1">
      <alignment horizontal="center" vertical="center" shrinkToFit="1"/>
    </xf>
    <xf numFmtId="6" fontId="3" fillId="0" borderId="2" xfId="1" applyNumberFormat="1" applyFont="1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17" fillId="0" borderId="0" xfId="0" applyFont="1">
      <alignment vertical="center"/>
    </xf>
    <xf numFmtId="0" fontId="0" fillId="0" borderId="20" xfId="0" applyBorder="1">
      <alignment vertical="center"/>
    </xf>
    <xf numFmtId="6" fontId="3" fillId="0" borderId="2" xfId="1" applyNumberFormat="1" applyFont="1" applyBorder="1" applyAlignment="1">
      <alignment vertical="center" shrinkToFit="1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20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176" fontId="3" fillId="0" borderId="21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22" fillId="0" borderId="20" xfId="0" applyNumberFormat="1" applyFont="1" applyBorder="1">
      <alignment vertical="center"/>
    </xf>
    <xf numFmtId="176" fontId="6" fillId="0" borderId="20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5" fillId="0" borderId="7" xfId="0" applyFont="1" applyBorder="1" applyAlignment="1">
      <alignment horizontal="left" vertical="center" indent="1"/>
    </xf>
    <xf numFmtId="176" fontId="3" fillId="0" borderId="8" xfId="0" applyNumberFormat="1" applyFont="1" applyBorder="1">
      <alignment vertical="center"/>
    </xf>
    <xf numFmtId="0" fontId="5" fillId="0" borderId="10" xfId="0" applyFont="1" applyBorder="1" applyAlignment="1">
      <alignment horizontal="left" vertical="center" indent="1"/>
    </xf>
    <xf numFmtId="176" fontId="20" fillId="0" borderId="0" xfId="0" applyNumberFormat="1" applyFont="1" applyAlignment="1">
      <alignment horizontal="left" vertical="center" indent="1"/>
    </xf>
    <xf numFmtId="176" fontId="5" fillId="0" borderId="0" xfId="0" applyNumberFormat="1" applyFont="1" applyAlignment="1">
      <alignment horizontal="left" vertical="center" indent="2"/>
    </xf>
    <xf numFmtId="176" fontId="5" fillId="0" borderId="0" xfId="0" applyNumberFormat="1" applyFont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indent="1"/>
    </xf>
    <xf numFmtId="176" fontId="3" fillId="0" borderId="13" xfId="0" applyNumberFormat="1" applyFont="1" applyBorder="1">
      <alignment vertical="center"/>
    </xf>
    <xf numFmtId="0" fontId="7" fillId="0" borderId="0" xfId="0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/>
    <xf numFmtId="0" fontId="5" fillId="0" borderId="10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wrapText="1" indent="1"/>
    </xf>
    <xf numFmtId="176" fontId="4" fillId="0" borderId="0" xfId="0" applyNumberFormat="1" applyFont="1">
      <alignment vertical="center"/>
    </xf>
    <xf numFmtId="176" fontId="3" fillId="0" borderId="28" xfId="0" applyNumberFormat="1" applyFont="1" applyBorder="1">
      <alignment vertical="center"/>
    </xf>
    <xf numFmtId="0" fontId="20" fillId="0" borderId="7" xfId="0" applyFont="1" applyBorder="1" applyAlignment="1">
      <alignment horizontal="left" vertical="center" indent="1"/>
    </xf>
    <xf numFmtId="176" fontId="20" fillId="0" borderId="8" xfId="0" applyNumberFormat="1" applyFont="1" applyBorder="1">
      <alignment vertical="center"/>
    </xf>
    <xf numFmtId="176" fontId="20" fillId="0" borderId="9" xfId="0" applyNumberFormat="1" applyFont="1" applyBorder="1">
      <alignment vertical="center"/>
    </xf>
    <xf numFmtId="0" fontId="20" fillId="0" borderId="10" xfId="0" applyFont="1" applyBorder="1" applyAlignment="1">
      <alignment horizontal="left" vertical="center" indent="1"/>
    </xf>
    <xf numFmtId="176" fontId="20" fillId="0" borderId="11" xfId="0" applyNumberFormat="1" applyFont="1" applyBorder="1" applyAlignment="1">
      <alignment horizontal="left" vertical="center" indent="1"/>
    </xf>
    <xf numFmtId="0" fontId="20" fillId="0" borderId="12" xfId="0" applyFont="1" applyBorder="1" applyAlignment="1">
      <alignment horizontal="left" vertical="center" indent="1"/>
    </xf>
    <xf numFmtId="176" fontId="20" fillId="0" borderId="13" xfId="0" applyNumberFormat="1" applyFont="1" applyBorder="1">
      <alignment vertical="center"/>
    </xf>
    <xf numFmtId="176" fontId="20" fillId="0" borderId="14" xfId="0" applyNumberFormat="1" applyFont="1" applyBorder="1">
      <alignment vertical="center"/>
    </xf>
    <xf numFmtId="176" fontId="20" fillId="0" borderId="11" xfId="0" applyNumberFormat="1" applyFont="1" applyBorder="1">
      <alignment vertical="center"/>
    </xf>
    <xf numFmtId="0" fontId="20" fillId="0" borderId="32" xfId="0" applyFont="1" applyBorder="1" applyAlignment="1">
      <alignment horizontal="left" vertical="center" indent="1"/>
    </xf>
    <xf numFmtId="176" fontId="20" fillId="0" borderId="33" xfId="0" applyNumberFormat="1" applyFont="1" applyBorder="1">
      <alignment vertical="center"/>
    </xf>
    <xf numFmtId="176" fontId="20" fillId="0" borderId="34" xfId="0" applyNumberFormat="1" applyFont="1" applyBorder="1">
      <alignment vertical="center"/>
    </xf>
    <xf numFmtId="176" fontId="20" fillId="0" borderId="36" xfId="0" applyNumberFormat="1" applyFont="1" applyBorder="1" applyAlignment="1">
      <alignment horizontal="left" vertical="center" indent="1"/>
    </xf>
    <xf numFmtId="0" fontId="20" fillId="0" borderId="38" xfId="0" applyFont="1" applyBorder="1" applyAlignment="1">
      <alignment horizontal="left" vertical="center" indent="1"/>
    </xf>
    <xf numFmtId="176" fontId="20" fillId="0" borderId="39" xfId="0" applyNumberFormat="1" applyFont="1" applyBorder="1">
      <alignment vertical="center"/>
    </xf>
    <xf numFmtId="176" fontId="20" fillId="0" borderId="40" xfId="0" applyNumberFormat="1" applyFont="1" applyBorder="1">
      <alignment vertical="center"/>
    </xf>
    <xf numFmtId="176" fontId="3" fillId="0" borderId="24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176" fontId="3" fillId="0" borderId="26" xfId="0" applyNumberFormat="1" applyFont="1" applyBorder="1">
      <alignment vertical="center"/>
    </xf>
    <xf numFmtId="179" fontId="8" fillId="0" borderId="0" xfId="0" applyNumberFormat="1" applyFont="1" applyAlignment="1" applyProtection="1">
      <alignment horizontal="center"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center" vertical="center"/>
    </xf>
    <xf numFmtId="0" fontId="0" fillId="4" borderId="5" xfId="0" applyFill="1" applyBorder="1">
      <alignment vertical="center"/>
    </xf>
    <xf numFmtId="176" fontId="15" fillId="0" borderId="0" xfId="0" applyNumberFormat="1" applyFont="1">
      <alignment vertical="center"/>
    </xf>
    <xf numFmtId="178" fontId="3" fillId="0" borderId="0" xfId="0" applyNumberFormat="1" applyFont="1" applyAlignment="1">
      <alignment vertical="center" shrinkToFit="1"/>
    </xf>
    <xf numFmtId="176" fontId="8" fillId="0" borderId="44" xfId="0" applyNumberFormat="1" applyFont="1" applyBorder="1" applyAlignment="1">
      <alignment horizontal="center" vertical="center" shrinkToFit="1"/>
    </xf>
    <xf numFmtId="0" fontId="0" fillId="5" borderId="5" xfId="0" applyFill="1" applyBorder="1">
      <alignment vertical="center"/>
    </xf>
    <xf numFmtId="0" fontId="27" fillId="0" borderId="0" xfId="0" applyFont="1" applyAlignment="1">
      <alignment horizontal="left" vertical="center" indent="2"/>
    </xf>
    <xf numFmtId="38" fontId="16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5" fillId="3" borderId="31" xfId="0" applyFont="1" applyFill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176" fontId="25" fillId="5" borderId="47" xfId="0" applyNumberFormat="1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26" fillId="5" borderId="48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horizontal="center" vertical="center"/>
    </xf>
    <xf numFmtId="0" fontId="26" fillId="5" borderId="49" xfId="0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horizontal="center" vertical="center"/>
    </xf>
    <xf numFmtId="177" fontId="20" fillId="0" borderId="22" xfId="0" applyNumberFormat="1" applyFont="1" applyBorder="1" applyAlignment="1">
      <alignment vertical="center" shrinkToFit="1"/>
    </xf>
    <xf numFmtId="177" fontId="24" fillId="0" borderId="5" xfId="0" applyNumberFormat="1" applyFont="1" applyBorder="1" applyAlignment="1">
      <alignment vertical="center" shrinkToFit="1"/>
    </xf>
    <xf numFmtId="0" fontId="20" fillId="3" borderId="6" xfId="0" applyFont="1" applyFill="1" applyBorder="1" applyAlignment="1">
      <alignment horizontal="center" vertical="center"/>
    </xf>
    <xf numFmtId="176" fontId="20" fillId="5" borderId="7" xfId="0" applyNumberFormat="1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176" fontId="20" fillId="0" borderId="22" xfId="0" applyNumberFormat="1" applyFont="1" applyBorder="1">
      <alignment vertical="center"/>
    </xf>
    <xf numFmtId="0" fontId="24" fillId="0" borderId="5" xfId="0" applyFont="1" applyBorder="1">
      <alignment vertical="center"/>
    </xf>
    <xf numFmtId="0" fontId="20" fillId="3" borderId="6" xfId="0" applyFont="1" applyFill="1" applyBorder="1">
      <alignment vertical="center"/>
    </xf>
    <xf numFmtId="176" fontId="20" fillId="5" borderId="7" xfId="0" applyNumberFormat="1" applyFont="1" applyFill="1" applyBorder="1">
      <alignment vertical="center"/>
    </xf>
    <xf numFmtId="0" fontId="24" fillId="5" borderId="9" xfId="0" applyFont="1" applyFill="1" applyBorder="1">
      <alignment vertical="center"/>
    </xf>
    <xf numFmtId="0" fontId="24" fillId="5" borderId="10" xfId="0" applyFont="1" applyFill="1" applyBorder="1">
      <alignment vertical="center"/>
    </xf>
    <xf numFmtId="0" fontId="24" fillId="5" borderId="11" xfId="0" applyFont="1" applyFill="1" applyBorder="1">
      <alignment vertical="center"/>
    </xf>
    <xf numFmtId="0" fontId="24" fillId="5" borderId="12" xfId="0" applyFont="1" applyFill="1" applyBorder="1">
      <alignment vertical="center"/>
    </xf>
    <xf numFmtId="0" fontId="24" fillId="5" borderId="14" xfId="0" applyFont="1" applyFill="1" applyBorder="1">
      <alignment vertical="center"/>
    </xf>
    <xf numFmtId="0" fontId="20" fillId="5" borderId="29" xfId="0" applyFont="1" applyFill="1" applyBorder="1" applyAlignment="1">
      <alignment horizontal="center" vertical="center"/>
    </xf>
    <xf numFmtId="0" fontId="24" fillId="5" borderId="30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179" fontId="21" fillId="0" borderId="0" xfId="0" applyNumberFormat="1" applyFont="1" applyAlignment="1">
      <alignment horizontal="right" vertical="center"/>
    </xf>
    <xf numFmtId="0" fontId="20" fillId="3" borderId="6" xfId="0" applyFont="1" applyFill="1" applyBorder="1" applyAlignment="1">
      <alignment horizontal="left" vertical="center" indent="1"/>
    </xf>
    <xf numFmtId="176" fontId="20" fillId="0" borderId="22" xfId="0" applyNumberFormat="1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176" fontId="20" fillId="0" borderId="22" xfId="0" applyNumberFormat="1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0" fillId="3" borderId="6" xfId="0" applyFont="1" applyFill="1" applyBorder="1" applyAlignment="1">
      <alignment horizontal="left" vertical="center" wrapText="1" indent="1"/>
    </xf>
    <xf numFmtId="0" fontId="24" fillId="3" borderId="6" xfId="0" applyFont="1" applyFill="1" applyBorder="1" applyAlignment="1">
      <alignment horizontal="left" vertical="center" wrapText="1" indent="1"/>
    </xf>
    <xf numFmtId="176" fontId="20" fillId="0" borderId="2" xfId="0" applyNumberFormat="1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BF9D7"/>
      <color rgb="FFE5EEE7"/>
      <color rgb="FFFFFEFB"/>
      <color rgb="FF005418"/>
      <color rgb="FF4065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6162</xdr:colOff>
      <xdr:row>0</xdr:row>
      <xdr:rowOff>95810</xdr:rowOff>
    </xdr:from>
    <xdr:to>
      <xdr:col>14</xdr:col>
      <xdr:colOff>33618</xdr:colOff>
      <xdr:row>2</xdr:row>
      <xdr:rowOff>10085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C2DE349-7BC8-4EFC-99C8-7BE71479AD74}"/>
            </a:ext>
          </a:extLst>
        </xdr:cNvPr>
        <xdr:cNvSpPr/>
      </xdr:nvSpPr>
      <xdr:spPr>
        <a:xfrm>
          <a:off x="118221" y="95810"/>
          <a:ext cx="5204573" cy="194422"/>
        </a:xfrm>
        <a:prstGeom prst="rect">
          <a:avLst/>
        </a:prstGeom>
        <a:noFill/>
        <a:ln w="73025" cmpd="thinThick">
          <a:solidFill>
            <a:srgbClr val="00541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B932C-6A01-4B50-8A8C-F62C20EA4158}">
  <dimension ref="A1:AK69"/>
  <sheetViews>
    <sheetView showGridLines="0" showRowColHeaders="0" tabSelected="1" topLeftCell="A10" zoomScale="170" zoomScaleNormal="170" workbookViewId="0">
      <selection activeCell="E20" sqref="E20:F20"/>
    </sheetView>
  </sheetViews>
  <sheetFormatPr defaultColWidth="0" defaultRowHeight="32.25" customHeight="1" zeroHeight="1" x14ac:dyDescent="0.4"/>
  <cols>
    <col min="1" max="2" width="1.5" style="1" customWidth="1"/>
    <col min="3" max="3" width="13.125" style="1" customWidth="1"/>
    <col min="4" max="4" width="2.25" style="1" customWidth="1"/>
    <col min="5" max="5" width="4.375" style="1" customWidth="1"/>
    <col min="6" max="6" width="4.125" style="1" customWidth="1"/>
    <col min="7" max="7" width="4.75" style="1" customWidth="1"/>
    <col min="8" max="8" width="6" style="1" customWidth="1"/>
    <col min="9" max="9" width="7.125" style="1" customWidth="1"/>
    <col min="10" max="10" width="2.25" style="1" customWidth="1"/>
    <col min="11" max="11" width="4.375" style="1" customWidth="1"/>
    <col min="12" max="12" width="4.125" style="1" customWidth="1"/>
    <col min="13" max="13" width="4.75" style="1" customWidth="1"/>
    <col min="14" max="14" width="1.5" style="1" customWidth="1"/>
    <col min="15" max="15" width="1.625" style="1" customWidth="1"/>
    <col min="16" max="16" width="16.75" style="1" hidden="1" customWidth="1"/>
    <col min="17" max="17" width="10.875" style="1" hidden="1" customWidth="1"/>
    <col min="18" max="18" width="9.125" style="1" hidden="1" customWidth="1"/>
    <col min="19" max="19" width="13" style="1" hidden="1" customWidth="1"/>
    <col min="20" max="20" width="12.875" style="1" hidden="1" customWidth="1"/>
    <col min="21" max="21" width="9" style="1" hidden="1" customWidth="1"/>
    <col min="22" max="22" width="12.25" style="1" hidden="1" customWidth="1"/>
    <col min="23" max="23" width="9" style="1" hidden="1" customWidth="1"/>
    <col min="24" max="27" width="9.125" style="1" hidden="1" customWidth="1"/>
    <col min="28" max="28" width="10" style="1" hidden="1" customWidth="1"/>
    <col min="29" max="29" width="9.125" style="1" hidden="1" customWidth="1"/>
    <col min="30" max="31" width="9" style="1" hidden="1" customWidth="1"/>
    <col min="32" max="32" width="10" style="1" hidden="1" customWidth="1"/>
    <col min="33" max="33" width="0" style="1" hidden="1" customWidth="1"/>
    <col min="34" max="35" width="9" style="1" hidden="1" customWidth="1"/>
    <col min="36" max="36" width="10" style="1" hidden="1" customWidth="1"/>
    <col min="37" max="37" width="0" style="1" hidden="1" customWidth="1"/>
    <col min="38" max="16384" width="9" style="1" hidden="1"/>
  </cols>
  <sheetData>
    <row r="1" spans="1:17" ht="8.25" customHeight="1" x14ac:dyDescent="0.4">
      <c r="N1" s="64"/>
    </row>
    <row r="2" spans="1:17" ht="13.5" customHeight="1" x14ac:dyDescent="0.4">
      <c r="B2" s="156" t="s">
        <v>75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P2"/>
      <c r="Q2"/>
    </row>
    <row r="3" spans="1:17" ht="7.5" customHeight="1" x14ac:dyDescent="0.4"/>
    <row r="4" spans="1:17" ht="2.25" customHeight="1" x14ac:dyDescent="0.4">
      <c r="B4" s="65"/>
    </row>
    <row r="5" spans="1:17" ht="8.25" customHeight="1" x14ac:dyDescent="0.4">
      <c r="B5" s="66"/>
      <c r="L5" s="158">
        <v>0.1</v>
      </c>
      <c r="M5" s="158"/>
    </row>
    <row r="6" spans="1:17" ht="3" customHeight="1" x14ac:dyDescent="0.4">
      <c r="L6" s="67"/>
      <c r="M6" s="67"/>
      <c r="N6" s="67"/>
    </row>
    <row r="7" spans="1:17" ht="3.75" customHeight="1" x14ac:dyDescent="0.4"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  <c r="P7" s="11"/>
      <c r="Q7"/>
    </row>
    <row r="8" spans="1:17" ht="11.25" customHeight="1" x14ac:dyDescent="0.4">
      <c r="B8" s="71"/>
      <c r="C8" s="72" t="s">
        <v>68</v>
      </c>
      <c r="D8" s="73"/>
      <c r="E8" s="74"/>
      <c r="F8" s="74"/>
      <c r="G8" s="74"/>
      <c r="H8" s="74"/>
      <c r="I8" s="54"/>
      <c r="J8" s="54"/>
      <c r="K8" s="54"/>
      <c r="L8" s="54"/>
      <c r="M8" s="54"/>
      <c r="N8" s="75"/>
    </row>
    <row r="9" spans="1:17" ht="6" customHeight="1" x14ac:dyDescent="0.4">
      <c r="B9" s="71"/>
      <c r="C9" s="76"/>
      <c r="D9" s="76"/>
      <c r="I9"/>
      <c r="J9"/>
      <c r="K9"/>
      <c r="L9"/>
      <c r="M9"/>
      <c r="N9" s="75"/>
      <c r="P9" s="11"/>
    </row>
    <row r="10" spans="1:17" ht="3.95" customHeight="1" x14ac:dyDescent="0.4">
      <c r="B10" s="71"/>
      <c r="C10" s="159" t="s">
        <v>3</v>
      </c>
      <c r="D10" s="77"/>
      <c r="E10" s="78"/>
      <c r="F10" s="78"/>
      <c r="G10" s="78"/>
      <c r="H10" s="78"/>
      <c r="I10" s="25"/>
      <c r="J10" s="25"/>
      <c r="K10" s="25"/>
      <c r="L10" s="25"/>
      <c r="M10" s="26"/>
      <c r="N10" s="75"/>
    </row>
    <row r="11" spans="1:17" ht="11.1" customHeight="1" x14ac:dyDescent="0.4">
      <c r="B11" s="71"/>
      <c r="C11" s="159"/>
      <c r="D11" s="79"/>
      <c r="E11" s="160"/>
      <c r="F11" s="161"/>
      <c r="G11" s="80" t="s">
        <v>9</v>
      </c>
      <c r="H11" s="81"/>
      <c r="I11" s="122" t="str">
        <f>IF(AND(E11="",E14&lt;&gt;""),"※口径の入力お願いします。","")</f>
        <v/>
      </c>
      <c r="J11"/>
      <c r="L11"/>
      <c r="M11" s="27"/>
      <c r="N11" s="75"/>
      <c r="P11"/>
    </row>
    <row r="12" spans="1:17" ht="3.95" customHeight="1" x14ac:dyDescent="0.4">
      <c r="A12" s="82"/>
      <c r="B12" s="83"/>
      <c r="C12" s="159"/>
      <c r="D12" s="84"/>
      <c r="E12" s="85"/>
      <c r="F12" s="85"/>
      <c r="G12" s="85"/>
      <c r="H12" s="85"/>
      <c r="I12" s="28"/>
      <c r="J12" s="28"/>
      <c r="K12" s="28"/>
      <c r="L12" s="28"/>
      <c r="M12" s="29"/>
      <c r="N12" s="75"/>
      <c r="P12"/>
    </row>
    <row r="13" spans="1:17" ht="3.95" customHeight="1" x14ac:dyDescent="0.4">
      <c r="B13" s="71"/>
      <c r="C13" s="159" t="s">
        <v>7</v>
      </c>
      <c r="D13" s="79"/>
      <c r="G13" s="78"/>
      <c r="H13" s="78"/>
      <c r="I13" s="25"/>
      <c r="J13" s="25"/>
      <c r="K13" s="25"/>
      <c r="L13" s="25"/>
      <c r="M13" s="26"/>
      <c r="N13" s="75"/>
      <c r="P13"/>
    </row>
    <row r="14" spans="1:17" ht="11.1" customHeight="1" x14ac:dyDescent="0.4">
      <c r="B14" s="71"/>
      <c r="C14" s="159"/>
      <c r="D14" s="79"/>
      <c r="E14" s="162"/>
      <c r="F14" s="163"/>
      <c r="I14" s="122" t="str">
        <f>IF(AND(E11&lt;&gt;"",E14=""),"※用途の入力お願いします。","")</f>
        <v/>
      </c>
      <c r="J14"/>
      <c r="L14"/>
      <c r="M14" s="27"/>
      <c r="N14" s="75"/>
      <c r="P14"/>
    </row>
    <row r="15" spans="1:17" ht="3.95" customHeight="1" x14ac:dyDescent="0.4">
      <c r="A15" s="82"/>
      <c r="B15" s="83"/>
      <c r="C15" s="159"/>
      <c r="D15" s="84"/>
      <c r="E15" s="85"/>
      <c r="F15" s="85"/>
      <c r="G15" s="85"/>
      <c r="H15" s="85"/>
      <c r="I15" s="28"/>
      <c r="J15" s="28"/>
      <c r="K15" s="28"/>
      <c r="L15" s="28"/>
      <c r="M15" s="29"/>
      <c r="N15" s="75"/>
    </row>
    <row r="16" spans="1:17" ht="3.95" customHeight="1" x14ac:dyDescent="0.4">
      <c r="B16" s="71"/>
      <c r="C16" s="159" t="s">
        <v>32</v>
      </c>
      <c r="D16" s="79"/>
      <c r="G16" s="78"/>
      <c r="H16" s="78"/>
      <c r="I16" s="25"/>
      <c r="J16" s="25"/>
      <c r="K16" s="25"/>
      <c r="L16" s="25"/>
      <c r="M16" s="26"/>
      <c r="N16" s="75"/>
      <c r="P16"/>
    </row>
    <row r="17" spans="1:16" ht="11.1" customHeight="1" x14ac:dyDescent="0.4">
      <c r="B17" s="71"/>
      <c r="C17" s="159"/>
      <c r="D17" s="79"/>
      <c r="E17" s="160"/>
      <c r="F17" s="161"/>
      <c r="G17" s="80" t="s">
        <v>46</v>
      </c>
      <c r="H17" s="81"/>
      <c r="I17" s="122" t="str">
        <f>IF(AND(E11&lt;&gt;"",E14&lt;&gt;"",E17=""),"※集合戸数の入力お願いします。","")</f>
        <v/>
      </c>
      <c r="J17"/>
      <c r="K17" s="86"/>
      <c r="L17"/>
      <c r="M17" s="27"/>
      <c r="N17" s="75"/>
      <c r="P17"/>
    </row>
    <row r="18" spans="1:16" ht="3.95" customHeight="1" x14ac:dyDescent="0.4">
      <c r="A18" s="82"/>
      <c r="B18" s="83"/>
      <c r="C18" s="159"/>
      <c r="D18" s="84"/>
      <c r="E18" s="85"/>
      <c r="F18" s="85"/>
      <c r="G18" s="85"/>
      <c r="H18" s="85"/>
      <c r="I18" s="28"/>
      <c r="J18" s="28"/>
      <c r="K18" s="28"/>
      <c r="L18" s="28"/>
      <c r="M18" s="29"/>
      <c r="N18" s="75"/>
    </row>
    <row r="19" spans="1:16" ht="3.95" customHeight="1" x14ac:dyDescent="0.25">
      <c r="A19" s="82"/>
      <c r="B19" s="83"/>
      <c r="C19" s="164" t="s">
        <v>45</v>
      </c>
      <c r="D19" s="79"/>
      <c r="E19" s="87"/>
      <c r="F19" s="88"/>
      <c r="G19" s="78"/>
      <c r="H19" s="78"/>
      <c r="I19" s="25"/>
      <c r="J19" s="25"/>
      <c r="K19" s="25"/>
      <c r="L19" s="25"/>
      <c r="M19" s="26"/>
      <c r="N19" s="75"/>
    </row>
    <row r="20" spans="1:16" ht="11.1" customHeight="1" x14ac:dyDescent="0.4">
      <c r="B20" s="71"/>
      <c r="C20" s="165"/>
      <c r="D20" s="89"/>
      <c r="E20" s="166"/>
      <c r="F20" s="167"/>
      <c r="G20" s="80" t="s">
        <v>63</v>
      </c>
      <c r="H20" s="81"/>
      <c r="I20" s="122" t="str">
        <f>IF(AND(E11&lt;&gt;"",E14&lt;&gt;"",E17&lt;&gt;"",E20=""),"※ご使用水量の入力お願いします。","")</f>
        <v/>
      </c>
      <c r="J20"/>
      <c r="L20"/>
      <c r="M20" s="27"/>
      <c r="N20" s="75"/>
    </row>
    <row r="21" spans="1:16" ht="3.95" customHeight="1" x14ac:dyDescent="0.4">
      <c r="A21" s="82"/>
      <c r="B21" s="83"/>
      <c r="C21" s="165"/>
      <c r="D21" s="90"/>
      <c r="E21" s="85"/>
      <c r="F21" s="85"/>
      <c r="G21" s="85"/>
      <c r="H21" s="85"/>
      <c r="I21" s="28"/>
      <c r="J21" s="28"/>
      <c r="K21" s="28"/>
      <c r="L21" s="28"/>
      <c r="M21" s="29"/>
      <c r="N21" s="75"/>
    </row>
    <row r="22" spans="1:16" ht="3.95" customHeight="1" x14ac:dyDescent="0.4">
      <c r="B22" s="71"/>
      <c r="C22" s="91"/>
      <c r="D22" s="76"/>
      <c r="I22"/>
      <c r="J22"/>
      <c r="K22"/>
      <c r="L22"/>
      <c r="M22"/>
      <c r="N22" s="75"/>
      <c r="P22" s="11"/>
    </row>
    <row r="23" spans="1:16" ht="11.25" customHeight="1" x14ac:dyDescent="0.4">
      <c r="B23" s="71"/>
      <c r="C23" s="72" t="s">
        <v>67</v>
      </c>
      <c r="D23" s="73"/>
      <c r="E23" s="74"/>
      <c r="F23" s="74"/>
      <c r="I23"/>
      <c r="J23"/>
      <c r="K23"/>
      <c r="L23"/>
      <c r="M23"/>
      <c r="N23" s="75"/>
      <c r="P23" s="11"/>
    </row>
    <row r="24" spans="1:16" ht="6" customHeight="1" x14ac:dyDescent="0.4">
      <c r="B24" s="71"/>
      <c r="C24" s="76"/>
      <c r="D24" s="76"/>
      <c r="G24" s="92"/>
      <c r="H24" s="92"/>
      <c r="I24" s="24"/>
      <c r="J24" s="24"/>
      <c r="K24" s="24"/>
      <c r="L24" s="24"/>
      <c r="M24" s="24"/>
      <c r="N24" s="75"/>
      <c r="P24" s="11"/>
    </row>
    <row r="25" spans="1:16" ht="8.25" customHeight="1" x14ac:dyDescent="0.4">
      <c r="B25" s="71"/>
      <c r="C25" s="66" t="s">
        <v>66</v>
      </c>
      <c r="D25" s="76"/>
      <c r="I25"/>
      <c r="J25"/>
      <c r="K25"/>
      <c r="L25"/>
      <c r="M25"/>
      <c r="N25" s="75"/>
      <c r="P25" s="11"/>
    </row>
    <row r="26" spans="1:16" ht="8.25" customHeight="1" x14ac:dyDescent="0.4">
      <c r="B26" s="71"/>
      <c r="C26" s="66" t="s">
        <v>31</v>
      </c>
      <c r="D26" s="76"/>
      <c r="F26" s="3"/>
      <c r="G26" s="3"/>
      <c r="H26" s="3"/>
      <c r="I26"/>
      <c r="J26"/>
      <c r="K26"/>
      <c r="L26"/>
      <c r="M26"/>
      <c r="N26" s="75"/>
      <c r="P26" s="11"/>
    </row>
    <row r="27" spans="1:16" ht="3" customHeight="1" x14ac:dyDescent="0.4">
      <c r="B27" s="71"/>
      <c r="C27" s="76"/>
      <c r="D27" s="76"/>
      <c r="I27" s="76"/>
      <c r="J27" s="76"/>
      <c r="N27" s="75"/>
      <c r="P27" s="11"/>
    </row>
    <row r="28" spans="1:16" ht="12.75" customHeight="1" x14ac:dyDescent="0.4">
      <c r="B28" s="71"/>
      <c r="C28" s="168" t="s">
        <v>43</v>
      </c>
      <c r="D28" s="169"/>
      <c r="E28" s="169"/>
      <c r="F28" s="169"/>
      <c r="G28" s="169"/>
      <c r="H28" s="153" t="s">
        <v>44</v>
      </c>
      <c r="I28" s="154"/>
      <c r="J28" s="154"/>
      <c r="K28" s="154"/>
      <c r="L28" s="154"/>
      <c r="M28" s="155"/>
      <c r="N28" s="75"/>
    </row>
    <row r="29" spans="1:16" ht="3.95" customHeight="1" x14ac:dyDescent="0.4">
      <c r="B29" s="71"/>
      <c r="C29" s="146" t="s">
        <v>83</v>
      </c>
      <c r="D29" s="93"/>
      <c r="E29" s="94"/>
      <c r="F29" s="94"/>
      <c r="G29" s="94"/>
      <c r="H29" s="147" t="s">
        <v>91</v>
      </c>
      <c r="I29" s="148"/>
      <c r="J29" s="93"/>
      <c r="K29" s="94"/>
      <c r="L29" s="94"/>
      <c r="M29" s="95"/>
      <c r="N29" s="75"/>
    </row>
    <row r="30" spans="1:16" ht="11.1" customHeight="1" x14ac:dyDescent="0.4">
      <c r="B30" s="71"/>
      <c r="C30" s="146"/>
      <c r="D30" s="96"/>
      <c r="E30" s="144">
        <f>IFERROR('計算シート (改定前)'!W8,0)</f>
        <v>0</v>
      </c>
      <c r="F30" s="145"/>
      <c r="G30" s="80" t="s">
        <v>10</v>
      </c>
      <c r="H30" s="149"/>
      <c r="I30" s="150"/>
      <c r="J30" s="96"/>
      <c r="K30" s="144">
        <f>IFERROR('計算シート (改定前)'!Y8,0)</f>
        <v>0</v>
      </c>
      <c r="L30" s="145"/>
      <c r="M30" s="97" t="s">
        <v>10</v>
      </c>
      <c r="N30" s="75"/>
      <c r="P30"/>
    </row>
    <row r="31" spans="1:16" ht="3.95" customHeight="1" x14ac:dyDescent="0.4">
      <c r="A31" s="82"/>
      <c r="B31" s="83"/>
      <c r="C31" s="146"/>
      <c r="D31" s="98"/>
      <c r="E31" s="99"/>
      <c r="F31" s="99"/>
      <c r="G31" s="99"/>
      <c r="H31" s="151"/>
      <c r="I31" s="152"/>
      <c r="J31" s="98"/>
      <c r="K31" s="99"/>
      <c r="L31" s="99"/>
      <c r="M31" s="100"/>
      <c r="N31" s="75"/>
      <c r="P31"/>
    </row>
    <row r="32" spans="1:16" ht="3.95" customHeight="1" x14ac:dyDescent="0.4">
      <c r="B32" s="71"/>
      <c r="C32" s="146" t="s">
        <v>84</v>
      </c>
      <c r="D32" s="96"/>
      <c r="E32" s="65"/>
      <c r="F32" s="65"/>
      <c r="G32" s="65"/>
      <c r="H32" s="147" t="s">
        <v>84</v>
      </c>
      <c r="I32" s="148"/>
      <c r="J32" s="96"/>
      <c r="K32" s="65"/>
      <c r="L32" s="65"/>
      <c r="M32" s="101"/>
      <c r="N32" s="75"/>
      <c r="P32"/>
    </row>
    <row r="33" spans="1:33" ht="11.1" customHeight="1" x14ac:dyDescent="0.4">
      <c r="B33" s="71"/>
      <c r="C33" s="146"/>
      <c r="D33" s="96"/>
      <c r="E33" s="144">
        <f>IFERROR('計算シート (改定前)'!W9,0)</f>
        <v>0</v>
      </c>
      <c r="F33" s="145"/>
      <c r="G33" s="80" t="s">
        <v>10</v>
      </c>
      <c r="H33" s="149"/>
      <c r="I33" s="150"/>
      <c r="J33" s="96"/>
      <c r="K33" s="144">
        <f>IFERROR('計算シート (改定前)'!Y9,0)</f>
        <v>0</v>
      </c>
      <c r="L33" s="145"/>
      <c r="M33" s="97" t="s">
        <v>10</v>
      </c>
      <c r="N33" s="75"/>
      <c r="P33"/>
    </row>
    <row r="34" spans="1:33" ht="3.95" customHeight="1" x14ac:dyDescent="0.4">
      <c r="A34" s="82"/>
      <c r="B34" s="83"/>
      <c r="C34" s="146"/>
      <c r="D34" s="98"/>
      <c r="E34" s="99"/>
      <c r="F34" s="99"/>
      <c r="G34" s="99"/>
      <c r="H34" s="151"/>
      <c r="I34" s="152"/>
      <c r="J34" s="98"/>
      <c r="K34" s="99"/>
      <c r="L34" s="99"/>
      <c r="M34" s="100"/>
      <c r="N34" s="75"/>
    </row>
    <row r="35" spans="1:33" ht="3.95" customHeight="1" x14ac:dyDescent="0.4">
      <c r="B35" s="71"/>
      <c r="C35" s="146" t="s">
        <v>85</v>
      </c>
      <c r="D35" s="96"/>
      <c r="E35" s="65"/>
      <c r="F35" s="65"/>
      <c r="G35" s="65"/>
      <c r="H35" s="147" t="s">
        <v>85</v>
      </c>
      <c r="I35" s="148"/>
      <c r="J35" s="96"/>
      <c r="K35" s="65"/>
      <c r="L35" s="65"/>
      <c r="M35" s="101"/>
      <c r="N35" s="75"/>
      <c r="P35"/>
    </row>
    <row r="36" spans="1:33" ht="11.1" customHeight="1" x14ac:dyDescent="0.4">
      <c r="B36" s="71"/>
      <c r="C36" s="146"/>
      <c r="D36" s="96"/>
      <c r="E36" s="144">
        <f>IFERROR('計算シート (改定前)'!W10,0)</f>
        <v>0</v>
      </c>
      <c r="F36" s="145"/>
      <c r="G36" s="80" t="s">
        <v>10</v>
      </c>
      <c r="H36" s="149"/>
      <c r="I36" s="150"/>
      <c r="J36" s="96"/>
      <c r="K36" s="144">
        <f>IFERROR('計算シート (改定前)'!Y10,0)</f>
        <v>0</v>
      </c>
      <c r="L36" s="145"/>
      <c r="M36" s="97" t="s">
        <v>10</v>
      </c>
      <c r="N36" s="75"/>
      <c r="P36"/>
    </row>
    <row r="37" spans="1:33" ht="3.95" customHeight="1" x14ac:dyDescent="0.4">
      <c r="A37" s="82"/>
      <c r="B37" s="83"/>
      <c r="C37" s="146"/>
      <c r="D37" s="98"/>
      <c r="E37" s="99"/>
      <c r="F37" s="99"/>
      <c r="G37" s="99"/>
      <c r="H37" s="151"/>
      <c r="I37" s="152"/>
      <c r="J37" s="98"/>
      <c r="K37" s="99"/>
      <c r="L37" s="99"/>
      <c r="M37" s="100"/>
      <c r="N37" s="75"/>
    </row>
    <row r="38" spans="1:33" ht="4.5" customHeight="1" x14ac:dyDescent="0.4">
      <c r="B38" s="71"/>
      <c r="C38" s="125"/>
      <c r="D38" s="65"/>
      <c r="E38" s="65"/>
      <c r="F38" s="65"/>
      <c r="G38" s="65"/>
      <c r="H38" s="125"/>
      <c r="I38" s="125"/>
      <c r="J38" s="65"/>
      <c r="K38" s="65"/>
      <c r="L38" s="65"/>
      <c r="M38" s="65"/>
      <c r="N38" s="75"/>
      <c r="P38" s="11"/>
    </row>
    <row r="39" spans="1:33" ht="3.95" customHeight="1" x14ac:dyDescent="0.4">
      <c r="B39" s="71"/>
      <c r="C39" s="146" t="s">
        <v>86</v>
      </c>
      <c r="D39" s="93"/>
      <c r="E39" s="94"/>
      <c r="F39" s="94"/>
      <c r="G39" s="94"/>
      <c r="H39" s="147" t="s">
        <v>86</v>
      </c>
      <c r="I39" s="148"/>
      <c r="J39" s="93"/>
      <c r="K39" s="94"/>
      <c r="L39" s="94"/>
      <c r="M39" s="95"/>
      <c r="N39" s="75"/>
    </row>
    <row r="40" spans="1:33" ht="11.1" customHeight="1" x14ac:dyDescent="0.4">
      <c r="B40" s="71"/>
      <c r="C40" s="146"/>
      <c r="D40" s="96"/>
      <c r="E40" s="144">
        <f>IFERROR('計算シート (改定前)'!W12,0)</f>
        <v>0</v>
      </c>
      <c r="F40" s="145"/>
      <c r="G40" s="80" t="s">
        <v>10</v>
      </c>
      <c r="H40" s="149"/>
      <c r="I40" s="150"/>
      <c r="J40" s="96"/>
      <c r="K40" s="144">
        <f>IFERROR('計算シート (改定前)'!Y12,0)</f>
        <v>0</v>
      </c>
      <c r="L40" s="145"/>
      <c r="M40" s="97" t="s">
        <v>10</v>
      </c>
      <c r="N40" s="75"/>
      <c r="P40"/>
    </row>
    <row r="41" spans="1:33" ht="3.95" customHeight="1" x14ac:dyDescent="0.4">
      <c r="A41" s="82"/>
      <c r="B41" s="83"/>
      <c r="C41" s="146"/>
      <c r="D41" s="98"/>
      <c r="E41" s="99"/>
      <c r="F41" s="99"/>
      <c r="G41" s="99"/>
      <c r="H41" s="151"/>
      <c r="I41" s="152"/>
      <c r="J41" s="98"/>
      <c r="K41" s="99"/>
      <c r="L41" s="99"/>
      <c r="M41" s="100"/>
      <c r="N41" s="75"/>
      <c r="P41"/>
    </row>
    <row r="42" spans="1:33" ht="3.95" customHeight="1" x14ac:dyDescent="0.4">
      <c r="B42" s="71"/>
      <c r="C42" s="146" t="s">
        <v>87</v>
      </c>
      <c r="D42" s="96"/>
      <c r="E42" s="65"/>
      <c r="F42" s="65"/>
      <c r="G42" s="65"/>
      <c r="H42" s="147" t="s">
        <v>87</v>
      </c>
      <c r="I42" s="148"/>
      <c r="J42" s="96"/>
      <c r="K42" s="65"/>
      <c r="L42" s="65"/>
      <c r="M42" s="101"/>
      <c r="N42" s="75"/>
      <c r="P42"/>
    </row>
    <row r="43" spans="1:33" ht="11.1" customHeight="1" x14ac:dyDescent="0.4">
      <c r="B43" s="71"/>
      <c r="C43" s="146"/>
      <c r="D43" s="96"/>
      <c r="E43" s="144">
        <f>IFERROR('計算シート (改定前)'!W13,0)</f>
        <v>0</v>
      </c>
      <c r="F43" s="145"/>
      <c r="G43" s="80" t="s">
        <v>10</v>
      </c>
      <c r="H43" s="149"/>
      <c r="I43" s="150"/>
      <c r="J43" s="96"/>
      <c r="K43" s="144">
        <f>IFERROR('計算シート (改定前)'!Y13,0)</f>
        <v>0</v>
      </c>
      <c r="L43" s="145"/>
      <c r="M43" s="97" t="s">
        <v>10</v>
      </c>
      <c r="N43" s="75"/>
      <c r="P43"/>
    </row>
    <row r="44" spans="1:33" ht="3.95" customHeight="1" x14ac:dyDescent="0.4">
      <c r="A44" s="82"/>
      <c r="B44" s="83"/>
      <c r="C44" s="146"/>
      <c r="D44" s="98"/>
      <c r="E44" s="99"/>
      <c r="F44" s="99"/>
      <c r="G44" s="99"/>
      <c r="H44" s="151"/>
      <c r="I44" s="152"/>
      <c r="J44" s="98"/>
      <c r="K44" s="99"/>
      <c r="L44" s="99"/>
      <c r="M44" s="100"/>
      <c r="N44" s="75"/>
    </row>
    <row r="45" spans="1:33" ht="3.95" customHeight="1" x14ac:dyDescent="0.4">
      <c r="B45" s="71"/>
      <c r="C45" s="146" t="s">
        <v>88</v>
      </c>
      <c r="D45" s="93"/>
      <c r="E45" s="94"/>
      <c r="F45" s="94"/>
      <c r="G45" s="94"/>
      <c r="H45" s="147" t="s">
        <v>88</v>
      </c>
      <c r="I45" s="148"/>
      <c r="J45" s="93"/>
      <c r="K45" s="94"/>
      <c r="L45" s="94"/>
      <c r="M45" s="95"/>
      <c r="N45" s="75"/>
    </row>
    <row r="46" spans="1:33" ht="11.1" customHeight="1" x14ac:dyDescent="0.4">
      <c r="B46" s="71"/>
      <c r="C46" s="146"/>
      <c r="D46" s="96"/>
      <c r="E46" s="144">
        <f>IFERROR('計算シート (改定前)'!W14,0)</f>
        <v>0</v>
      </c>
      <c r="F46" s="145"/>
      <c r="G46" s="80" t="s">
        <v>10</v>
      </c>
      <c r="H46" s="149"/>
      <c r="I46" s="150"/>
      <c r="J46" s="96"/>
      <c r="K46" s="144">
        <f>IFERROR('計算シート (改定前)'!Y14,0)</f>
        <v>0</v>
      </c>
      <c r="L46" s="145"/>
      <c r="M46" s="97" t="s">
        <v>10</v>
      </c>
      <c r="N46" s="75"/>
      <c r="P46"/>
    </row>
    <row r="47" spans="1:33" ht="3.95" customHeight="1" x14ac:dyDescent="0.4">
      <c r="A47" s="82"/>
      <c r="B47" s="83"/>
      <c r="C47" s="146"/>
      <c r="D47" s="98"/>
      <c r="E47" s="99"/>
      <c r="F47" s="99"/>
      <c r="G47" s="99"/>
      <c r="H47" s="151"/>
      <c r="I47" s="152"/>
      <c r="J47" s="98"/>
      <c r="K47" s="99"/>
      <c r="L47" s="99"/>
      <c r="M47" s="100"/>
      <c r="N47" s="75"/>
      <c r="P47"/>
    </row>
    <row r="48" spans="1:33" ht="4.5" customHeight="1" x14ac:dyDescent="0.4">
      <c r="B48" s="71"/>
      <c r="C48" s="125"/>
      <c r="D48" s="65"/>
      <c r="E48" s="65"/>
      <c r="F48" s="65"/>
      <c r="G48" s="65"/>
      <c r="H48" s="125"/>
      <c r="I48" s="125"/>
      <c r="J48" s="65"/>
      <c r="K48" s="65"/>
      <c r="L48" s="65"/>
      <c r="M48" s="65"/>
      <c r="N48" s="75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3.95" customHeight="1" x14ac:dyDescent="0.4">
      <c r="B49" s="71"/>
      <c r="C49" s="137" t="s">
        <v>89</v>
      </c>
      <c r="D49" s="93"/>
      <c r="E49" s="94"/>
      <c r="F49" s="94"/>
      <c r="G49" s="94"/>
      <c r="H49" s="138" t="s">
        <v>89</v>
      </c>
      <c r="I49" s="139"/>
      <c r="J49" s="93"/>
      <c r="K49" s="94"/>
      <c r="L49" s="94"/>
      <c r="M49" s="95"/>
      <c r="N49" s="75"/>
    </row>
    <row r="50" spans="1:33" ht="11.1" customHeight="1" x14ac:dyDescent="0.4">
      <c r="B50" s="71"/>
      <c r="C50" s="137"/>
      <c r="D50" s="96"/>
      <c r="E50" s="144">
        <f>IFERROR('計算シート (改定前)'!W16,0)</f>
        <v>0</v>
      </c>
      <c r="F50" s="145"/>
      <c r="G50" s="80" t="s">
        <v>10</v>
      </c>
      <c r="H50" s="140"/>
      <c r="I50" s="141"/>
      <c r="J50" s="96"/>
      <c r="K50" s="144">
        <f>IFERROR('計算シート (改定前)'!Y16,0)</f>
        <v>0</v>
      </c>
      <c r="L50" s="145"/>
      <c r="M50" s="97" t="s">
        <v>10</v>
      </c>
      <c r="N50" s="75"/>
      <c r="P50"/>
    </row>
    <row r="51" spans="1:33" ht="3.95" customHeight="1" x14ac:dyDescent="0.4">
      <c r="A51" s="82"/>
      <c r="B51" s="83"/>
      <c r="C51" s="137"/>
      <c r="D51" s="98"/>
      <c r="E51" s="99"/>
      <c r="F51" s="99"/>
      <c r="G51" s="99"/>
      <c r="H51" s="142"/>
      <c r="I51" s="143"/>
      <c r="J51" s="98"/>
      <c r="K51" s="99"/>
      <c r="L51" s="99"/>
      <c r="M51" s="100"/>
      <c r="N51" s="75"/>
      <c r="P51"/>
    </row>
    <row r="52" spans="1:33" ht="3.95" customHeight="1" x14ac:dyDescent="0.4">
      <c r="B52" s="71"/>
      <c r="C52" s="137" t="s">
        <v>90</v>
      </c>
      <c r="D52" s="96"/>
      <c r="E52" s="65"/>
      <c r="F52" s="65"/>
      <c r="G52" s="65"/>
      <c r="H52" s="138" t="s">
        <v>90</v>
      </c>
      <c r="I52" s="139"/>
      <c r="J52" s="96"/>
      <c r="K52" s="65"/>
      <c r="L52" s="65"/>
      <c r="M52" s="101"/>
      <c r="N52" s="75"/>
      <c r="P52"/>
    </row>
    <row r="53" spans="1:33" ht="11.1" customHeight="1" x14ac:dyDescent="0.4">
      <c r="B53" s="71"/>
      <c r="C53" s="137"/>
      <c r="D53" s="96"/>
      <c r="E53" s="144">
        <f>IFERROR('計算シート (改定前)'!W17,0)</f>
        <v>0</v>
      </c>
      <c r="F53" s="145"/>
      <c r="G53" s="80" t="s">
        <v>10</v>
      </c>
      <c r="H53" s="140"/>
      <c r="I53" s="141"/>
      <c r="J53" s="96"/>
      <c r="K53" s="144">
        <f>IFERROR('計算シート (改定前)'!Y17,0)</f>
        <v>0</v>
      </c>
      <c r="L53" s="145"/>
      <c r="M53" s="97" t="s">
        <v>10</v>
      </c>
      <c r="N53" s="75"/>
      <c r="P53"/>
    </row>
    <row r="54" spans="1:33" ht="3.95" customHeight="1" x14ac:dyDescent="0.4">
      <c r="A54" s="82"/>
      <c r="B54" s="83"/>
      <c r="C54" s="137"/>
      <c r="D54" s="98"/>
      <c r="E54" s="99"/>
      <c r="F54" s="99"/>
      <c r="G54" s="99"/>
      <c r="H54" s="142"/>
      <c r="I54" s="143"/>
      <c r="J54" s="98"/>
      <c r="K54" s="99"/>
      <c r="L54" s="99"/>
      <c r="M54" s="100"/>
      <c r="N54" s="75"/>
    </row>
    <row r="55" spans="1:33" ht="4.5" customHeight="1" thickBot="1" x14ac:dyDescent="0.45">
      <c r="B55" s="71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75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3.95" customHeight="1" x14ac:dyDescent="0.4">
      <c r="B56" s="71"/>
      <c r="C56" s="126" t="s">
        <v>76</v>
      </c>
      <c r="D56" s="102"/>
      <c r="E56" s="103"/>
      <c r="F56" s="103"/>
      <c r="G56" s="103"/>
      <c r="H56" s="129" t="s">
        <v>76</v>
      </c>
      <c r="I56" s="130"/>
      <c r="J56" s="102"/>
      <c r="K56" s="103"/>
      <c r="L56" s="103"/>
      <c r="M56" s="104"/>
      <c r="N56" s="75"/>
    </row>
    <row r="57" spans="1:33" ht="11.1" customHeight="1" x14ac:dyDescent="0.4">
      <c r="B57" s="71"/>
      <c r="C57" s="127"/>
      <c r="D57" s="96"/>
      <c r="E57" s="135">
        <f>SUM(E50,E53)</f>
        <v>0</v>
      </c>
      <c r="F57" s="136"/>
      <c r="G57" s="80" t="s">
        <v>10</v>
      </c>
      <c r="H57" s="131"/>
      <c r="I57" s="132"/>
      <c r="J57" s="96"/>
      <c r="K57" s="135">
        <f>SUM(K50,K53)</f>
        <v>0</v>
      </c>
      <c r="L57" s="136"/>
      <c r="M57" s="105" t="s">
        <v>10</v>
      </c>
      <c r="N57" s="75"/>
      <c r="P57"/>
    </row>
    <row r="58" spans="1:33" ht="3.95" customHeight="1" thickBot="1" x14ac:dyDescent="0.45">
      <c r="A58" s="82"/>
      <c r="B58" s="83"/>
      <c r="C58" s="128"/>
      <c r="D58" s="106"/>
      <c r="E58" s="107"/>
      <c r="F58" s="107"/>
      <c r="G58" s="107"/>
      <c r="H58" s="133"/>
      <c r="I58" s="134"/>
      <c r="J58" s="106"/>
      <c r="K58" s="107"/>
      <c r="L58" s="107"/>
      <c r="M58" s="108"/>
      <c r="N58" s="75"/>
      <c r="P58"/>
    </row>
    <row r="59" spans="1:33" ht="8.25" customHeight="1" x14ac:dyDescent="0.4">
      <c r="B59" s="109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1"/>
    </row>
    <row r="60" spans="1:33" ht="5.25" customHeight="1" x14ac:dyDescent="0.4"/>
    <row r="65" ht="32.25" hidden="1" customHeight="1" x14ac:dyDescent="0.4"/>
    <row r="66" ht="32.25" hidden="1" customHeight="1" x14ac:dyDescent="0.4"/>
    <row r="67" ht="32.25" hidden="1" customHeight="1" x14ac:dyDescent="0.4"/>
    <row r="68" ht="32.25" hidden="1" customHeight="1" x14ac:dyDescent="0.4"/>
    <row r="69" ht="32.25" hidden="1" customHeight="1" x14ac:dyDescent="0.4"/>
  </sheetData>
  <sheetProtection algorithmName="SHA-512" hashValue="d7pmWQ0KJekGfWQbQ8Ma+dfREehdfs+ne1dwAZsyU2QVpQAGMmbnoDIL9C4Alemtyk1fLnB6kaCHBpjTw1AkYA==" saltValue="nVzqaUSUFhQIgSftAR81aA==" spinCount="100000" sheet="1" selectLockedCells="1"/>
  <mergeCells count="48">
    <mergeCell ref="H28:M28"/>
    <mergeCell ref="B2:N2"/>
    <mergeCell ref="L5:M5"/>
    <mergeCell ref="C10:C12"/>
    <mergeCell ref="E11:F11"/>
    <mergeCell ref="C13:C15"/>
    <mergeCell ref="E14:F14"/>
    <mergeCell ref="C16:C18"/>
    <mergeCell ref="E17:F17"/>
    <mergeCell ref="C19:C21"/>
    <mergeCell ref="E20:F20"/>
    <mergeCell ref="C28:G28"/>
    <mergeCell ref="C29:C31"/>
    <mergeCell ref="H29:I31"/>
    <mergeCell ref="E30:F30"/>
    <mergeCell ref="K30:L30"/>
    <mergeCell ref="C32:C34"/>
    <mergeCell ref="H32:I34"/>
    <mergeCell ref="E33:F33"/>
    <mergeCell ref="K33:L33"/>
    <mergeCell ref="C35:C37"/>
    <mergeCell ref="H35:I37"/>
    <mergeCell ref="E36:F36"/>
    <mergeCell ref="K36:L36"/>
    <mergeCell ref="C39:C41"/>
    <mergeCell ref="H39:I41"/>
    <mergeCell ref="E40:F40"/>
    <mergeCell ref="K40:L40"/>
    <mergeCell ref="C42:C44"/>
    <mergeCell ref="H42:I44"/>
    <mergeCell ref="E43:F43"/>
    <mergeCell ref="K43:L43"/>
    <mergeCell ref="C45:C47"/>
    <mergeCell ref="H45:I47"/>
    <mergeCell ref="E46:F46"/>
    <mergeCell ref="K46:L46"/>
    <mergeCell ref="C56:C58"/>
    <mergeCell ref="H56:I58"/>
    <mergeCell ref="E57:F57"/>
    <mergeCell ref="K57:L57"/>
    <mergeCell ref="C49:C51"/>
    <mergeCell ref="H49:I51"/>
    <mergeCell ref="E50:F50"/>
    <mergeCell ref="K50:L50"/>
    <mergeCell ref="C52:C54"/>
    <mergeCell ref="H52:I54"/>
    <mergeCell ref="E53:F53"/>
    <mergeCell ref="K53:L53"/>
  </mergeCells>
  <phoneticPr fontId="1"/>
  <dataValidations count="2">
    <dataValidation type="list" allowBlank="1" showInputMessage="1" showErrorMessage="1" sqref="E11" xr:uid="{1D9A0300-9A24-4D46-8FCC-BAB93DF8E82C}">
      <formula1>口径</formula1>
    </dataValidation>
    <dataValidation type="list" allowBlank="1" showInputMessage="1" showErrorMessage="1" sqref="E14:F14" xr:uid="{5C098273-8E85-4CAF-B3E9-0A7D13B56038}">
      <formula1>用途</formula1>
    </dataValidation>
  </dataValidations>
  <pageMargins left="0.7" right="0.7" top="0.75" bottom="0.75" header="0.3" footer="0.3"/>
  <pageSetup paperSize="9" scale="68" orientation="portrait"/>
  <colBreaks count="1" manualBreakCount="1">
    <brk id="14" max="3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8801-0965-48C1-B9AE-9CAE5D98143A}">
  <dimension ref="B1:Y69"/>
  <sheetViews>
    <sheetView showGridLines="0" zoomScale="85" zoomScaleNormal="85" workbookViewId="0">
      <selection activeCell="D3" sqref="D3"/>
    </sheetView>
  </sheetViews>
  <sheetFormatPr defaultRowHeight="18.75" x14ac:dyDescent="0.4"/>
  <cols>
    <col min="1" max="2" width="1.25" customWidth="1"/>
    <col min="3" max="3" width="15.375" customWidth="1"/>
    <col min="4" max="20" width="9.875" customWidth="1"/>
    <col min="22" max="22" width="22.25" customWidth="1"/>
    <col min="24" max="24" width="22.25" customWidth="1"/>
  </cols>
  <sheetData>
    <row r="1" spans="2:25" x14ac:dyDescent="0.4">
      <c r="B1" s="1"/>
      <c r="L1" s="1"/>
    </row>
    <row r="2" spans="2:25" ht="19.5" x14ac:dyDescent="0.4">
      <c r="B2" s="1"/>
      <c r="C2" s="112">
        <f>'宇治市 (改定前)'!L5</f>
        <v>0.1</v>
      </c>
      <c r="E2" s="113"/>
      <c r="L2" s="1"/>
      <c r="P2" s="53"/>
    </row>
    <row r="3" spans="2:25" ht="19.5" x14ac:dyDescent="0.4">
      <c r="B3" s="1"/>
      <c r="C3" s="49" t="s">
        <v>42</v>
      </c>
      <c r="D3" s="56">
        <f>'宇治市 (改定前)'!E11</f>
        <v>0</v>
      </c>
      <c r="E3" s="49" t="s">
        <v>40</v>
      </c>
      <c r="F3" s="114">
        <f>'宇治市 (改定前)'!E14</f>
        <v>0</v>
      </c>
      <c r="G3" s="50" t="s">
        <v>35</v>
      </c>
      <c r="H3" s="51">
        <f>'宇治市 (改定前)'!E17</f>
        <v>0</v>
      </c>
      <c r="I3" s="50" t="s">
        <v>34</v>
      </c>
      <c r="J3" s="56">
        <f>'宇治市 (改定前)'!E20</f>
        <v>0</v>
      </c>
      <c r="K3" s="10"/>
      <c r="L3" s="52" t="s">
        <v>41</v>
      </c>
      <c r="M3" s="51">
        <f>IFERROR(J3/H3,0)</f>
        <v>0</v>
      </c>
      <c r="P3" s="53"/>
    </row>
    <row r="4" spans="2:25" ht="19.5" x14ac:dyDescent="0.4">
      <c r="B4" s="1"/>
      <c r="P4" s="53"/>
    </row>
    <row r="5" spans="2:25" ht="21" x14ac:dyDescent="0.4">
      <c r="B5" s="1"/>
      <c r="C5" s="115" t="s">
        <v>50</v>
      </c>
      <c r="D5" s="1"/>
      <c r="E5" s="1"/>
      <c r="F5" s="1"/>
      <c r="G5" s="1"/>
      <c r="H5" s="1"/>
      <c r="I5" s="1"/>
      <c r="J5" s="1"/>
      <c r="K5" s="115" t="s">
        <v>51</v>
      </c>
      <c r="L5" s="1"/>
      <c r="P5" s="53"/>
    </row>
    <row r="6" spans="2:25" ht="21" x14ac:dyDescent="0.4">
      <c r="B6" s="1"/>
      <c r="C6" s="115"/>
      <c r="D6" s="1"/>
      <c r="E6" s="1"/>
      <c r="F6" s="1"/>
      <c r="G6" s="1"/>
      <c r="H6" s="1"/>
      <c r="I6" s="1"/>
      <c r="J6" s="1"/>
      <c r="K6" s="115"/>
      <c r="L6" s="1"/>
    </row>
    <row r="7" spans="2:25" ht="21" x14ac:dyDescent="0.4">
      <c r="B7" s="1"/>
      <c r="C7" s="116"/>
      <c r="D7" s="62" t="s">
        <v>2</v>
      </c>
      <c r="E7" s="176" t="s">
        <v>49</v>
      </c>
      <c r="F7" s="177"/>
      <c r="G7" s="177"/>
      <c r="H7" s="177"/>
      <c r="I7" s="177"/>
      <c r="K7" s="3"/>
      <c r="L7" s="62" t="s">
        <v>2</v>
      </c>
      <c r="M7" s="177" t="s">
        <v>49</v>
      </c>
      <c r="N7" s="177"/>
      <c r="O7" s="177"/>
      <c r="P7" s="177"/>
      <c r="Q7" s="177"/>
      <c r="R7" s="178"/>
      <c r="S7" s="178"/>
      <c r="T7" s="178"/>
      <c r="V7" s="179" t="s">
        <v>36</v>
      </c>
      <c r="W7" s="180"/>
      <c r="X7" s="181" t="s">
        <v>37</v>
      </c>
      <c r="Y7" s="182"/>
    </row>
    <row r="8" spans="2:25" x14ac:dyDescent="0.4">
      <c r="B8" s="1"/>
      <c r="C8" s="62" t="s">
        <v>7</v>
      </c>
      <c r="D8" s="13">
        <f>IFERROR(VLOOKUP($C$9&amp;"用途",C18:I32,2,0),0)</f>
        <v>0</v>
      </c>
      <c r="E8" s="6">
        <f>IFERROR(VLOOKUP($C$9&amp;"用途",C18:I32,3,0),0)</f>
        <v>0</v>
      </c>
      <c r="F8" s="6">
        <f>IFERROR(VLOOKUP($C$9&amp;"用途",C18:I32,4,0),0)</f>
        <v>0</v>
      </c>
      <c r="G8" s="6">
        <f>IFERROR(VLOOKUP($C$9&amp;"用途",C18:I32,5,0),0)</f>
        <v>0</v>
      </c>
      <c r="H8" s="6">
        <f>IFERROR(VLOOKUP($C$9&amp;"用途",C18:I32,6,0),0)</f>
        <v>0</v>
      </c>
      <c r="I8" s="6">
        <f>IFERROR(VLOOKUP($C$9&amp;"用途",C18:I32,7,0),0)</f>
        <v>0</v>
      </c>
      <c r="K8" s="62" t="s">
        <v>7</v>
      </c>
      <c r="L8" s="13">
        <f>IFERROR(VLOOKUP($K$9&amp;"用途",$K$18:$T$26,2,0),0)</f>
        <v>0</v>
      </c>
      <c r="M8" s="6">
        <f>IFERROR(VLOOKUP($K$9&amp;"用途",$K$18:$T$26,3,0),0)</f>
        <v>0</v>
      </c>
      <c r="N8" s="6">
        <f>IFERROR(VLOOKUP($K$9&amp;"用途",$K$18:$T$26,4,0),0)</f>
        <v>0</v>
      </c>
      <c r="O8" s="6">
        <f>IFERROR(VLOOKUP($K$9&amp;"用途",$K$18:$T$26,5,0),0)</f>
        <v>0</v>
      </c>
      <c r="P8" s="6">
        <f>IFERROR(VLOOKUP($K$9&amp;"用途",$K$18:$T$26,6,0),0)</f>
        <v>0</v>
      </c>
      <c r="Q8" s="6">
        <f>IFERROR(VLOOKUP($K$9&amp;"用途",$K$18:$T$26,7,0),0)</f>
        <v>0</v>
      </c>
      <c r="R8" s="6">
        <f>IFERROR(VLOOKUP($K$9&amp;"用途",$K$18:$T$26,8,0),0)</f>
        <v>0</v>
      </c>
      <c r="S8" s="6">
        <f>IFERROR(VLOOKUP($K$9&amp;"用途",$K$18:$T$26,9,0),0)</f>
        <v>0</v>
      </c>
      <c r="T8" s="6">
        <f>IFERROR(VLOOKUP($K$9&amp;"用途",$K$18:$T$26,10,0),0)</f>
        <v>0</v>
      </c>
      <c r="V8" s="5" t="s">
        <v>69</v>
      </c>
      <c r="W8" s="30">
        <f>ROUND((D15*$H$3)+(SUM(E15:H15)*$H$3),0)</f>
        <v>0</v>
      </c>
      <c r="X8" s="5" t="s">
        <v>69</v>
      </c>
      <c r="Y8" s="30">
        <f>ROUND(((SUM(D49,E49:H49))*$H$3),0)</f>
        <v>0</v>
      </c>
    </row>
    <row r="9" spans="2:25" x14ac:dyDescent="0.4">
      <c r="B9" s="1"/>
      <c r="C9" s="62">
        <f>IFERROR(VLOOKUP($F$3,$R$29:$S$35,2,0),0)</f>
        <v>0</v>
      </c>
      <c r="D9" s="6">
        <f>IFERROR(VLOOKUP($C$9,C18:I32,2,0),0)</f>
        <v>0</v>
      </c>
      <c r="E9" s="6">
        <f>IFERROR(VLOOKUP($C$9,C18:I32,3,0),0)</f>
        <v>0</v>
      </c>
      <c r="F9" s="6">
        <f>IFERROR(VLOOKUP($C$9,C18:I32,4,0),0)</f>
        <v>0</v>
      </c>
      <c r="G9" s="6">
        <f>IFERROR(VLOOKUP($C$9,C18:I32,5,0),0)</f>
        <v>0</v>
      </c>
      <c r="H9" s="6">
        <f>IFERROR(VLOOKUP($C$9,C18:I32,6,0),0)</f>
        <v>0</v>
      </c>
      <c r="I9" s="6">
        <f>IFERROR(VLOOKUP($C$9,C18:I32,7,0),0)</f>
        <v>0</v>
      </c>
      <c r="K9" s="62">
        <f>IFERROR(VLOOKUP($F$3,$R$29:$T$35,3,0),0)</f>
        <v>0</v>
      </c>
      <c r="L9" s="6">
        <f>IFERROR(VLOOKUP($K$9,$K$18:$T$26,2,0),0)</f>
        <v>0</v>
      </c>
      <c r="M9" s="6">
        <f>IFERROR(VLOOKUP($K$9,$K$18:$T$26,3,0),0)</f>
        <v>0</v>
      </c>
      <c r="N9" s="6">
        <f>IFERROR(VLOOKUP($K$9,$K$18:$T$26,4,0),0)</f>
        <v>0</v>
      </c>
      <c r="O9" s="6">
        <f>IFERROR(VLOOKUP($K$9,$K$18:$T$26,5,0),0)</f>
        <v>0</v>
      </c>
      <c r="P9" s="6">
        <f>IFERROR(VLOOKUP($K$9,$K$18:$T$26,6,0),0)</f>
        <v>0</v>
      </c>
      <c r="Q9" s="6">
        <f>IFERROR(VLOOKUP($K$9,$K$18:$T$26,7,0),0)</f>
        <v>0</v>
      </c>
      <c r="R9" s="6">
        <f>IFERROR(VLOOKUP($K$9,$K$18:$T$26,8,0),0)</f>
        <v>0</v>
      </c>
      <c r="S9" s="6">
        <f>IFERROR(VLOOKUP($K$9,$K$18:$T$26,9,0),0)</f>
        <v>0</v>
      </c>
      <c r="T9" s="6">
        <f>IFERROR(VLOOKUP($K$9,$K$18:$T$26,10,0),0)</f>
        <v>0</v>
      </c>
      <c r="V9" s="5" t="s">
        <v>38</v>
      </c>
      <c r="W9" s="30">
        <f>IF(W8=0,0,C15)</f>
        <v>0</v>
      </c>
      <c r="X9" s="5" t="s">
        <v>38</v>
      </c>
      <c r="Y9" s="30">
        <f>IF(Y8=0,0,C49)</f>
        <v>0</v>
      </c>
    </row>
    <row r="10" spans="2:25" x14ac:dyDescent="0.4">
      <c r="B10" s="1"/>
      <c r="E10" s="1"/>
      <c r="F10" s="1"/>
      <c r="G10" s="1"/>
      <c r="H10" s="1"/>
      <c r="I10" s="1"/>
      <c r="J10" s="1"/>
      <c r="K10" s="1"/>
      <c r="L10" s="1"/>
      <c r="V10" s="5" t="s">
        <v>77</v>
      </c>
      <c r="W10" s="30">
        <f>ROUND((SUM(L15:S15)*H3),0)</f>
        <v>0</v>
      </c>
      <c r="X10" s="5" t="s">
        <v>77</v>
      </c>
      <c r="Y10" s="30">
        <f>ROUND((SUM(L49,M49:S49)*H3),0)</f>
        <v>0</v>
      </c>
    </row>
    <row r="11" spans="2:25" x14ac:dyDescent="0.4">
      <c r="B11" s="1"/>
      <c r="C11" s="1" t="s">
        <v>1</v>
      </c>
      <c r="D11" s="173" t="s">
        <v>8</v>
      </c>
      <c r="E11" s="174" t="s">
        <v>59</v>
      </c>
      <c r="F11" s="174"/>
      <c r="G11" s="174"/>
      <c r="H11" s="174"/>
      <c r="I11" s="3"/>
      <c r="K11" s="1" t="s">
        <v>1</v>
      </c>
      <c r="L11" s="173" t="s">
        <v>8</v>
      </c>
      <c r="M11" s="175" t="s">
        <v>49</v>
      </c>
      <c r="N11" s="175"/>
      <c r="O11" s="175"/>
      <c r="P11" s="175"/>
      <c r="Q11" s="175"/>
      <c r="R11" s="175"/>
      <c r="S11" s="175"/>
    </row>
    <row r="12" spans="2:25" x14ac:dyDescent="0.4">
      <c r="B12" s="1"/>
      <c r="C12" s="2"/>
      <c r="D12" s="173"/>
      <c r="E12" s="59" t="s">
        <v>55</v>
      </c>
      <c r="F12" s="59" t="s">
        <v>56</v>
      </c>
      <c r="G12" s="59" t="s">
        <v>57</v>
      </c>
      <c r="H12" s="59" t="s">
        <v>58</v>
      </c>
      <c r="I12" s="1"/>
      <c r="L12" s="173"/>
      <c r="M12" s="59" t="s">
        <v>55</v>
      </c>
      <c r="N12" s="59" t="s">
        <v>56</v>
      </c>
      <c r="O12" s="59" t="s">
        <v>57</v>
      </c>
      <c r="P12" s="59" t="s">
        <v>58</v>
      </c>
      <c r="Q12" s="59" t="s">
        <v>60</v>
      </c>
      <c r="R12" s="59" t="s">
        <v>61</v>
      </c>
      <c r="S12" s="59" t="s">
        <v>62</v>
      </c>
      <c r="V12" s="5" t="s">
        <v>70</v>
      </c>
      <c r="W12" s="30">
        <f>IF(W8=0,0,W8+INT(W8*$C$2))</f>
        <v>0</v>
      </c>
      <c r="X12" s="5" t="s">
        <v>70</v>
      </c>
      <c r="Y12" s="30">
        <f>IF(Y8=0,0,Y8+INT(Y8*$C$2))</f>
        <v>0</v>
      </c>
    </row>
    <row r="13" spans="2:25" x14ac:dyDescent="0.4">
      <c r="B13" s="1"/>
      <c r="D13" s="37">
        <f>IFERROR(IF($M$3-D8&gt;0,D8,$M$3),0)</f>
        <v>0</v>
      </c>
      <c r="E13" s="37">
        <f>IFERROR(IF($M$3-E8&gt;0,E8-D8,IF($M$3-D8&lt;0,0,$M$3-D8)),0)</f>
        <v>0</v>
      </c>
      <c r="F13" s="37">
        <f>IFERROR(IF(E8=999999999,0,IF($M$3-F8&gt;0,F8-E8,IF($M$3-E8&lt;0,0,$M$3-E8))),0)</f>
        <v>0</v>
      </c>
      <c r="G13" s="37">
        <f>IFERROR(IF($M$3-G8&gt;0,G8-F8,IF($M$3-F8&lt;0,0,$M$3-F8)),0)</f>
        <v>0</v>
      </c>
      <c r="H13" s="37">
        <f>IFERROR(IF($M$3-H8&gt;0,H8-G8,IF($M$3-G8&lt;0,0,$M$3-G8)),0)</f>
        <v>0</v>
      </c>
      <c r="I13" s="3"/>
      <c r="L13" s="38">
        <f>IFERROR(IF($M$3-L8&gt;0,L8,$M$3),0)</f>
        <v>0</v>
      </c>
      <c r="M13" s="38">
        <f>IFERROR(IF($M$3-M8&gt;0,M8-L8,IF($M$3-L8&lt;0,0,$M$3-L8)),0)</f>
        <v>0</v>
      </c>
      <c r="N13" s="38">
        <f>IFERROR(IF(M8=999999999,0,IF($M$3-N8&gt;0,N8-M8,IF($M$3-M8&lt;0,0,$M$3-M8))),0)</f>
        <v>0</v>
      </c>
      <c r="O13" s="38">
        <f>IFERROR(IF($M$3-O8&gt;0,O8-N8,IF($M$3-N8&lt;0,0,$M$3-N8)),0)</f>
        <v>0</v>
      </c>
      <c r="P13" s="38">
        <f>IFERROR(IF($M$3-P8&gt;0,P8-O8,IF($M$3-O8&lt;0,0,$M$3-O8)),0)</f>
        <v>0</v>
      </c>
      <c r="Q13" s="38">
        <f>IFERROR(IF($M$3-Q8&gt;0,Q8-P8,IF($M$3-P8&lt;0,0,$M$3-P8)),0)</f>
        <v>0</v>
      </c>
      <c r="R13" s="38">
        <f>IFERROR(IF($M$3-R8&gt;0,R8-Q8,IF($M$3-Q8&lt;0,0,$M$3-Q8)),0)</f>
        <v>0</v>
      </c>
      <c r="S13" s="38">
        <f>IFERROR(IF($M$3-S8&gt;0,S8-R8,IF($M$3-R8&lt;0,0,$M$3-R8)),0)</f>
        <v>0</v>
      </c>
      <c r="V13" s="5" t="s">
        <v>39</v>
      </c>
      <c r="W13" s="30">
        <f>IF(W9=0,0,W9+INT(W9*$C$2))</f>
        <v>0</v>
      </c>
      <c r="X13" s="5" t="s">
        <v>39</v>
      </c>
      <c r="Y13" s="30">
        <f>IF(Y9=0,0,Y9+INT(Y9*$C$2))</f>
        <v>0</v>
      </c>
    </row>
    <row r="14" spans="2:25" ht="19.5" thickBot="1" x14ac:dyDescent="0.45">
      <c r="B14" s="1"/>
      <c r="C14" s="47" t="s">
        <v>54</v>
      </c>
      <c r="D14" s="7">
        <f>VLOOKUP($C$9,$C$9:$I$9,2,0)</f>
        <v>0</v>
      </c>
      <c r="E14" s="7">
        <f>VLOOKUP($C$9,$C$9:$I$9,3,0)</f>
        <v>0</v>
      </c>
      <c r="F14" s="7">
        <f>VLOOKUP($C$9,$C$9:$I$9,4,0)</f>
        <v>0</v>
      </c>
      <c r="G14" s="7">
        <f>VLOOKUP($C$9,$C$9:$I$9,5,0)</f>
        <v>0</v>
      </c>
      <c r="H14" s="7">
        <f>VLOOKUP($C$9,$C$9:$I$9,6,0)</f>
        <v>0</v>
      </c>
      <c r="I14" s="3"/>
      <c r="L14" s="7">
        <f>VLOOKUP($K$9,$K$9:$T$9,2,0)</f>
        <v>0</v>
      </c>
      <c r="M14" s="7">
        <f>VLOOKUP($K$9,$K$9:$T$9,3,0)</f>
        <v>0</v>
      </c>
      <c r="N14" s="7">
        <f>VLOOKUP($K$9,$K$9:$T$9,4,0)</f>
        <v>0</v>
      </c>
      <c r="O14" s="7">
        <f>VLOOKUP($K$9,$K$9:$T$9,5,0)</f>
        <v>0</v>
      </c>
      <c r="P14" s="7">
        <f>VLOOKUP($K$9,$K$9:$T$9,6,0)</f>
        <v>0</v>
      </c>
      <c r="Q14" s="7">
        <f>VLOOKUP($K$9,$K$9:$T$9,7,0)</f>
        <v>0</v>
      </c>
      <c r="R14" s="7">
        <f>VLOOKUP($K$9,$K$9:$T$9,8,0)</f>
        <v>0</v>
      </c>
      <c r="S14" s="7">
        <f>VLOOKUP($K$9,$K$9:$T$9,9,0)</f>
        <v>0</v>
      </c>
      <c r="V14" s="5" t="s">
        <v>78</v>
      </c>
      <c r="W14" s="30">
        <f>IF(W10=0,0,W10+INT(W10*$C$2))</f>
        <v>0</v>
      </c>
      <c r="X14" s="5" t="s">
        <v>81</v>
      </c>
      <c r="Y14" s="30">
        <f>IF(Y10=0,0,Y10+INT(Y10*$C$2))</f>
        <v>0</v>
      </c>
    </row>
    <row r="15" spans="2:25" ht="19.5" thickBot="1" x14ac:dyDescent="0.45">
      <c r="B15" s="1"/>
      <c r="C15" s="8">
        <f>IFERROR(HLOOKUP($D$3,$D$34:$L$35,2,0),0)</f>
        <v>0</v>
      </c>
      <c r="D15" s="9">
        <f>D14</f>
        <v>0</v>
      </c>
      <c r="E15" s="6">
        <f>E13*E14</f>
        <v>0</v>
      </c>
      <c r="F15" s="6">
        <f>F13*F14</f>
        <v>0</v>
      </c>
      <c r="G15" s="6">
        <f>G13*G14</f>
        <v>0</v>
      </c>
      <c r="H15" s="6">
        <f>H13*H14</f>
        <v>0</v>
      </c>
      <c r="I15" s="3"/>
      <c r="L15" s="6">
        <f>L14</f>
        <v>0</v>
      </c>
      <c r="M15" s="6">
        <f t="shared" ref="M15:S15" si="0">M13*M14</f>
        <v>0</v>
      </c>
      <c r="N15" s="6">
        <f t="shared" si="0"/>
        <v>0</v>
      </c>
      <c r="O15" s="6">
        <f t="shared" si="0"/>
        <v>0</v>
      </c>
      <c r="P15" s="6">
        <f t="shared" si="0"/>
        <v>0</v>
      </c>
      <c r="Q15" s="6">
        <f t="shared" si="0"/>
        <v>0</v>
      </c>
      <c r="R15" s="6">
        <f t="shared" si="0"/>
        <v>0</v>
      </c>
      <c r="S15" s="6">
        <f t="shared" si="0"/>
        <v>0</v>
      </c>
    </row>
    <row r="16" spans="2:25" x14ac:dyDescent="0.4">
      <c r="B16" s="1"/>
      <c r="E16" s="1"/>
      <c r="F16" s="1"/>
      <c r="G16" s="1"/>
      <c r="H16" s="1"/>
      <c r="I16" s="1"/>
      <c r="J16" s="1"/>
      <c r="K16" s="1"/>
      <c r="L16" s="1"/>
      <c r="V16" s="5" t="s">
        <v>79</v>
      </c>
      <c r="W16" s="30">
        <f>SUM(W12:W13)</f>
        <v>0</v>
      </c>
      <c r="X16" s="5" t="s">
        <v>79</v>
      </c>
      <c r="Y16" s="30">
        <f>IFERROR(SUM(Y12:Y13),0)</f>
        <v>0</v>
      </c>
    </row>
    <row r="17" spans="2:25" x14ac:dyDescent="0.4">
      <c r="B17" s="1"/>
      <c r="C17" s="1" t="s">
        <v>71</v>
      </c>
      <c r="D17" s="1"/>
      <c r="E17" s="1"/>
      <c r="F17" s="1"/>
      <c r="G17" s="1"/>
      <c r="H17" s="1"/>
      <c r="I17" s="1" t="s">
        <v>21</v>
      </c>
      <c r="J17" s="1"/>
      <c r="K17" s="1" t="s">
        <v>73</v>
      </c>
      <c r="L17" s="1"/>
      <c r="M17" s="3"/>
      <c r="N17" s="3"/>
      <c r="O17" s="3"/>
      <c r="P17" s="3"/>
      <c r="Q17" s="3"/>
      <c r="R17" s="3"/>
      <c r="T17" s="3" t="s">
        <v>22</v>
      </c>
      <c r="V17" s="5" t="s">
        <v>80</v>
      </c>
      <c r="W17" s="30">
        <f>IFERROR(W14,0)</f>
        <v>0</v>
      </c>
      <c r="X17" s="5" t="s">
        <v>80</v>
      </c>
      <c r="Y17" s="30">
        <f>IFERROR(Y14,0)</f>
        <v>0</v>
      </c>
    </row>
    <row r="18" spans="2:25" x14ac:dyDescent="0.4">
      <c r="B18" s="1"/>
      <c r="C18" s="17" t="s">
        <v>7</v>
      </c>
      <c r="D18" s="62" t="s">
        <v>2</v>
      </c>
      <c r="E18" s="22"/>
      <c r="F18" s="22"/>
      <c r="G18" s="22" t="s">
        <v>49</v>
      </c>
      <c r="H18" s="22"/>
      <c r="I18" s="63"/>
      <c r="J18" s="1"/>
      <c r="K18" s="17" t="s">
        <v>7</v>
      </c>
      <c r="L18" s="17" t="s">
        <v>48</v>
      </c>
      <c r="M18" s="23"/>
      <c r="N18" s="23"/>
      <c r="O18" s="23"/>
      <c r="P18" s="57" t="s">
        <v>23</v>
      </c>
      <c r="Q18" s="23"/>
      <c r="R18" s="23"/>
      <c r="S18" s="23"/>
      <c r="T18" s="117"/>
      <c r="Y18" s="12"/>
    </row>
    <row r="19" spans="2:25" x14ac:dyDescent="0.4">
      <c r="B19" s="1"/>
      <c r="C19" s="20" t="str">
        <f>C20&amp;"用途"</f>
        <v>家庭用用途</v>
      </c>
      <c r="D19" s="14">
        <v>16</v>
      </c>
      <c r="E19" s="4">
        <v>40</v>
      </c>
      <c r="F19" s="4">
        <v>80</v>
      </c>
      <c r="G19" s="4">
        <v>120</v>
      </c>
      <c r="H19" s="6">
        <v>999999999</v>
      </c>
      <c r="I19" s="4"/>
      <c r="J19" s="1"/>
      <c r="K19" s="39" t="str">
        <f>K20&amp;"用途"</f>
        <v>一般用用途</v>
      </c>
      <c r="L19" s="4">
        <v>20</v>
      </c>
      <c r="M19" s="5">
        <v>40</v>
      </c>
      <c r="N19" s="5">
        <v>60</v>
      </c>
      <c r="O19" s="5">
        <v>100</v>
      </c>
      <c r="P19" s="5">
        <v>200</v>
      </c>
      <c r="Q19" s="5">
        <v>1000</v>
      </c>
      <c r="R19" s="5">
        <v>2000</v>
      </c>
      <c r="S19" s="6">
        <v>999999999</v>
      </c>
      <c r="T19" s="6"/>
      <c r="V19" s="124" t="s">
        <v>82</v>
      </c>
      <c r="W19" s="48">
        <f>IFERROR(SUM(W16:W17),0)</f>
        <v>0</v>
      </c>
      <c r="X19" s="123" t="s">
        <v>82</v>
      </c>
      <c r="Y19" s="55">
        <f>IFERROR(SUM(Y16:Y17),0)</f>
        <v>0</v>
      </c>
    </row>
    <row r="20" spans="2:25" x14ac:dyDescent="0.4">
      <c r="B20" s="1"/>
      <c r="C20" s="16" t="s">
        <v>5</v>
      </c>
      <c r="D20" s="4">
        <v>1820</v>
      </c>
      <c r="E20" s="4">
        <v>143</v>
      </c>
      <c r="F20" s="4">
        <v>174</v>
      </c>
      <c r="G20" s="4">
        <v>185</v>
      </c>
      <c r="H20" s="4">
        <v>202</v>
      </c>
      <c r="I20" s="4"/>
      <c r="J20" s="1"/>
      <c r="K20" s="19" t="s">
        <v>24</v>
      </c>
      <c r="L20" s="4">
        <v>2684</v>
      </c>
      <c r="M20" s="5">
        <v>146</v>
      </c>
      <c r="N20" s="5">
        <v>170</v>
      </c>
      <c r="O20" s="5">
        <v>195</v>
      </c>
      <c r="P20" s="5">
        <v>219</v>
      </c>
      <c r="Q20" s="5">
        <v>244</v>
      </c>
      <c r="R20" s="5">
        <v>268</v>
      </c>
      <c r="S20" s="5">
        <v>292</v>
      </c>
      <c r="T20" s="5"/>
    </row>
    <row r="21" spans="2:25" x14ac:dyDescent="0.4">
      <c r="B21" s="1"/>
      <c r="C21" s="20" t="str">
        <f>C22&amp;"用途"</f>
        <v>営業用用途</v>
      </c>
      <c r="D21" s="14">
        <v>16</v>
      </c>
      <c r="E21" s="4">
        <v>40</v>
      </c>
      <c r="F21" s="4">
        <v>80</v>
      </c>
      <c r="G21" s="4">
        <v>1000</v>
      </c>
      <c r="H21" s="6">
        <v>999999999</v>
      </c>
      <c r="I21" s="4"/>
      <c r="J21" s="1"/>
      <c r="K21" s="21" t="str">
        <f>K22&amp;"用途"</f>
        <v>低所得者用用途</v>
      </c>
      <c r="L21" s="4">
        <v>20</v>
      </c>
      <c r="M21" s="5">
        <v>40</v>
      </c>
      <c r="N21" s="5">
        <v>60</v>
      </c>
      <c r="O21" s="6">
        <v>999999999</v>
      </c>
      <c r="P21" s="15"/>
      <c r="Q21" s="5"/>
      <c r="R21" s="5"/>
      <c r="S21" s="5"/>
      <c r="T21" s="5"/>
    </row>
    <row r="22" spans="2:25" x14ac:dyDescent="0.4">
      <c r="B22" s="1"/>
      <c r="C22" s="16" t="s">
        <v>15</v>
      </c>
      <c r="D22" s="4">
        <v>1820</v>
      </c>
      <c r="E22" s="4">
        <v>143</v>
      </c>
      <c r="F22" s="4">
        <v>189</v>
      </c>
      <c r="G22" s="4">
        <v>239</v>
      </c>
      <c r="H22" s="4">
        <v>249</v>
      </c>
      <c r="I22" s="4"/>
      <c r="J22" s="1"/>
      <c r="K22" s="19" t="s">
        <v>25</v>
      </c>
      <c r="L22" s="4">
        <v>1342</v>
      </c>
      <c r="M22" s="5">
        <v>73</v>
      </c>
      <c r="N22" s="5">
        <v>85</v>
      </c>
      <c r="O22" s="5">
        <v>109</v>
      </c>
      <c r="P22" s="5"/>
      <c r="Q22" s="5"/>
      <c r="R22" s="5"/>
      <c r="S22" s="5"/>
      <c r="T22" s="5"/>
    </row>
    <row r="23" spans="2:25" x14ac:dyDescent="0.4">
      <c r="B23" s="1"/>
      <c r="C23" s="20" t="str">
        <f>C24&amp;"用途"</f>
        <v>官公署用途</v>
      </c>
      <c r="D23" s="14">
        <v>20</v>
      </c>
      <c r="E23" s="4">
        <v>40</v>
      </c>
      <c r="F23" s="4">
        <v>200</v>
      </c>
      <c r="G23" s="4">
        <v>2000</v>
      </c>
      <c r="H23" s="6">
        <v>999999999</v>
      </c>
      <c r="I23" s="4"/>
      <c r="J23" s="1"/>
      <c r="K23" s="21" t="str">
        <f>K24&amp;"用途"</f>
        <v>一時使用用用途</v>
      </c>
      <c r="L23" s="4">
        <v>100</v>
      </c>
      <c r="M23" s="6">
        <v>999999999</v>
      </c>
      <c r="N23" s="5"/>
      <c r="O23" s="5"/>
      <c r="P23" s="5"/>
      <c r="Q23" s="5"/>
      <c r="R23" s="5"/>
      <c r="S23" s="5"/>
      <c r="T23" s="5"/>
    </row>
    <row r="24" spans="2:25" x14ac:dyDescent="0.4">
      <c r="B24" s="1"/>
      <c r="C24" s="16" t="s">
        <v>16</v>
      </c>
      <c r="D24" s="4">
        <v>4820</v>
      </c>
      <c r="E24" s="4">
        <v>214</v>
      </c>
      <c r="F24" s="4">
        <v>242</v>
      </c>
      <c r="G24" s="4">
        <v>276</v>
      </c>
      <c r="H24" s="4">
        <v>310</v>
      </c>
      <c r="I24" s="4"/>
      <c r="J24" s="1"/>
      <c r="K24" s="19" t="s">
        <v>26</v>
      </c>
      <c r="L24" s="4">
        <v>29280</v>
      </c>
      <c r="M24" s="5">
        <v>292</v>
      </c>
      <c r="N24" s="5"/>
      <c r="O24" s="5"/>
      <c r="P24" s="5"/>
      <c r="Q24" s="5"/>
      <c r="R24" s="5"/>
      <c r="S24" s="5"/>
      <c r="T24" s="5"/>
    </row>
    <row r="25" spans="2:25" x14ac:dyDescent="0.4">
      <c r="B25" s="1"/>
      <c r="C25" s="20" t="str">
        <f>C26&amp;"用途"</f>
        <v>工場用用途</v>
      </c>
      <c r="D25" s="14">
        <v>20</v>
      </c>
      <c r="E25" s="4">
        <v>40</v>
      </c>
      <c r="F25" s="4">
        <v>200</v>
      </c>
      <c r="G25" s="4">
        <v>2000</v>
      </c>
      <c r="H25" s="6">
        <v>999999999</v>
      </c>
      <c r="I25" s="4"/>
      <c r="J25" s="1"/>
      <c r="K25" s="21" t="str">
        <f>K26&amp;"用途"</f>
        <v>公衆浴場用用途</v>
      </c>
      <c r="L25" s="4"/>
      <c r="M25" s="6">
        <v>600</v>
      </c>
      <c r="N25" s="6">
        <v>999999999</v>
      </c>
      <c r="O25" s="5"/>
      <c r="P25" s="5"/>
      <c r="Q25" s="5"/>
      <c r="R25" s="5"/>
      <c r="S25" s="5"/>
      <c r="T25" s="5"/>
    </row>
    <row r="26" spans="2:25" x14ac:dyDescent="0.4">
      <c r="B26" s="1"/>
      <c r="C26" s="16" t="s">
        <v>17</v>
      </c>
      <c r="D26" s="4">
        <v>4820</v>
      </c>
      <c r="E26" s="4">
        <v>243</v>
      </c>
      <c r="F26" s="4">
        <v>289</v>
      </c>
      <c r="G26" s="4">
        <v>328</v>
      </c>
      <c r="H26" s="4">
        <v>336</v>
      </c>
      <c r="I26" s="4"/>
      <c r="J26" s="1"/>
      <c r="K26" s="19" t="s">
        <v>27</v>
      </c>
      <c r="L26" s="4"/>
      <c r="M26" s="5">
        <v>42</v>
      </c>
      <c r="N26" s="5">
        <v>54</v>
      </c>
      <c r="O26" s="5"/>
      <c r="P26" s="5"/>
      <c r="Q26" s="5"/>
      <c r="R26" s="5"/>
      <c r="S26" s="5"/>
      <c r="T26" s="5"/>
    </row>
    <row r="27" spans="2:25" x14ac:dyDescent="0.4">
      <c r="B27" s="1"/>
      <c r="C27" s="20" t="str">
        <f>C28&amp;"用途"</f>
        <v>低所用用途</v>
      </c>
      <c r="D27" s="14">
        <v>16</v>
      </c>
      <c r="E27" s="4">
        <v>40</v>
      </c>
      <c r="F27" s="4">
        <v>80</v>
      </c>
      <c r="G27" s="4">
        <v>120</v>
      </c>
      <c r="H27" s="6">
        <v>999999999</v>
      </c>
      <c r="I27" s="4"/>
      <c r="J27" s="1"/>
      <c r="K27" s="1"/>
      <c r="L27" s="1"/>
      <c r="M27" s="3"/>
      <c r="N27" s="3"/>
      <c r="O27" s="3"/>
      <c r="P27" s="3"/>
      <c r="Q27" s="3"/>
      <c r="R27" s="3"/>
      <c r="S27" s="3"/>
      <c r="T27" s="3"/>
    </row>
    <row r="28" spans="2:25" x14ac:dyDescent="0.4">
      <c r="B28" s="1"/>
      <c r="C28" s="16" t="s">
        <v>18</v>
      </c>
      <c r="D28" s="4">
        <v>1080</v>
      </c>
      <c r="E28" s="4">
        <v>86</v>
      </c>
      <c r="F28" s="4">
        <v>104</v>
      </c>
      <c r="G28" s="4">
        <v>111</v>
      </c>
      <c r="H28" s="4">
        <v>121</v>
      </c>
      <c r="I28" s="4"/>
      <c r="J28" s="1"/>
      <c r="K28" s="1"/>
      <c r="L28" s="1"/>
      <c r="M28" s="3"/>
      <c r="N28" s="3"/>
      <c r="O28" s="3"/>
      <c r="P28" s="3"/>
      <c r="Q28" s="3"/>
      <c r="R28" s="1" t="s">
        <v>47</v>
      </c>
      <c r="S28" s="1"/>
      <c r="T28" s="11" t="s">
        <v>33</v>
      </c>
    </row>
    <row r="29" spans="2:25" x14ac:dyDescent="0.4">
      <c r="B29" s="1"/>
      <c r="C29" s="20" t="str">
        <f>C30&amp;"用途"</f>
        <v>浴場用用途</v>
      </c>
      <c r="D29" s="14">
        <v>16</v>
      </c>
      <c r="E29" s="4">
        <v>40</v>
      </c>
      <c r="F29" s="6">
        <v>999999999</v>
      </c>
      <c r="G29" s="4"/>
      <c r="H29" s="4"/>
      <c r="I29" s="4"/>
      <c r="J29" s="1"/>
      <c r="K29" s="1"/>
      <c r="L29" s="1"/>
      <c r="M29" s="3"/>
      <c r="Q29" s="3"/>
      <c r="R29" s="6" t="s">
        <v>4</v>
      </c>
      <c r="S29" s="4" t="s">
        <v>5</v>
      </c>
      <c r="T29" s="4" t="s">
        <v>28</v>
      </c>
    </row>
    <row r="30" spans="2:25" x14ac:dyDescent="0.4">
      <c r="B30" s="1"/>
      <c r="C30" s="16" t="s">
        <v>19</v>
      </c>
      <c r="D30" s="4">
        <v>1820</v>
      </c>
      <c r="E30" s="4">
        <v>143</v>
      </c>
      <c r="F30" s="4">
        <v>86</v>
      </c>
      <c r="G30" s="4"/>
      <c r="H30" s="4"/>
      <c r="I30" s="4"/>
      <c r="J30" s="1"/>
      <c r="R30" s="6" t="s">
        <v>6</v>
      </c>
      <c r="S30" s="4" t="s">
        <v>15</v>
      </c>
      <c r="T30" s="4" t="s">
        <v>28</v>
      </c>
    </row>
    <row r="31" spans="2:25" x14ac:dyDescent="0.4">
      <c r="B31" s="1"/>
      <c r="C31" s="20" t="str">
        <f>C32&amp;"用途"</f>
        <v>臨時用用途</v>
      </c>
      <c r="D31" s="14">
        <v>50</v>
      </c>
      <c r="E31" s="6">
        <v>999999999</v>
      </c>
      <c r="F31" s="4"/>
      <c r="G31" s="4"/>
      <c r="H31" s="6"/>
      <c r="I31" s="4"/>
      <c r="R31" s="6" t="s">
        <v>11</v>
      </c>
      <c r="S31" s="4" t="s">
        <v>16</v>
      </c>
      <c r="T31" s="4" t="s">
        <v>28</v>
      </c>
    </row>
    <row r="32" spans="2:25" x14ac:dyDescent="0.4">
      <c r="B32" s="1"/>
      <c r="C32" s="16" t="s">
        <v>20</v>
      </c>
      <c r="D32" s="4">
        <v>15780</v>
      </c>
      <c r="E32" s="4">
        <v>315</v>
      </c>
      <c r="F32" s="4"/>
      <c r="G32" s="4"/>
      <c r="H32" s="4"/>
      <c r="I32" s="4"/>
      <c r="J32" s="1"/>
      <c r="R32" s="6" t="s">
        <v>12</v>
      </c>
      <c r="S32" s="4" t="s">
        <v>17</v>
      </c>
      <c r="T32" s="4" t="s">
        <v>28</v>
      </c>
    </row>
    <row r="33" spans="3:25" x14ac:dyDescent="0.4">
      <c r="C33" s="3"/>
      <c r="R33" s="6" t="s">
        <v>65</v>
      </c>
      <c r="S33" s="4" t="s">
        <v>18</v>
      </c>
      <c r="T33" s="4" t="s">
        <v>29</v>
      </c>
    </row>
    <row r="34" spans="3:25" x14ac:dyDescent="0.4">
      <c r="C34" s="62" t="s">
        <v>3</v>
      </c>
      <c r="D34" s="18">
        <v>13</v>
      </c>
      <c r="E34" s="18">
        <v>20</v>
      </c>
      <c r="F34" s="18">
        <v>25</v>
      </c>
      <c r="G34" s="18">
        <v>40</v>
      </c>
      <c r="H34" s="18">
        <v>50</v>
      </c>
      <c r="I34" s="18">
        <v>75</v>
      </c>
      <c r="J34" s="18">
        <v>100</v>
      </c>
      <c r="K34" s="18">
        <v>125</v>
      </c>
      <c r="L34" s="18">
        <v>150</v>
      </c>
      <c r="R34" s="6" t="s">
        <v>13</v>
      </c>
      <c r="S34" s="4" t="s">
        <v>19</v>
      </c>
      <c r="T34" s="4" t="s">
        <v>30</v>
      </c>
    </row>
    <row r="35" spans="3:25" x14ac:dyDescent="0.4">
      <c r="C35" s="17" t="s">
        <v>0</v>
      </c>
      <c r="D35" s="6">
        <v>80</v>
      </c>
      <c r="E35" s="6">
        <v>160</v>
      </c>
      <c r="F35" s="6">
        <v>180</v>
      </c>
      <c r="G35" s="6">
        <v>320</v>
      </c>
      <c r="H35" s="6">
        <v>1800</v>
      </c>
      <c r="I35" s="6">
        <v>2400</v>
      </c>
      <c r="J35" s="6">
        <v>3000</v>
      </c>
      <c r="K35" s="6">
        <v>3000</v>
      </c>
      <c r="L35" s="6">
        <v>5800</v>
      </c>
      <c r="R35" s="6" t="s">
        <v>14</v>
      </c>
      <c r="S35" s="4" t="s">
        <v>20</v>
      </c>
      <c r="T35" s="4" t="s">
        <v>64</v>
      </c>
    </row>
    <row r="36" spans="3:25" x14ac:dyDescent="0.4">
      <c r="C36" s="1"/>
      <c r="V36" s="3"/>
      <c r="W36" s="12"/>
      <c r="X36" s="3"/>
    </row>
    <row r="37" spans="3:25" ht="10.5" customHeight="1" thickBot="1" x14ac:dyDescent="0.4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9" spans="3:25" ht="21" x14ac:dyDescent="0.4">
      <c r="C39" s="118" t="s">
        <v>52</v>
      </c>
      <c r="K39" s="118" t="s">
        <v>53</v>
      </c>
    </row>
    <row r="40" spans="3:25" ht="21" x14ac:dyDescent="0.4">
      <c r="C40" s="118"/>
      <c r="K40" s="118"/>
    </row>
    <row r="41" spans="3:25" x14ac:dyDescent="0.4">
      <c r="D41" s="61" t="s">
        <v>2</v>
      </c>
      <c r="E41" s="170" t="s">
        <v>49</v>
      </c>
      <c r="F41" s="171"/>
      <c r="G41" s="171"/>
      <c r="H41" s="171"/>
      <c r="I41" s="171"/>
      <c r="J41" s="1"/>
      <c r="K41" s="3"/>
      <c r="L41" s="61" t="s">
        <v>2</v>
      </c>
      <c r="M41" s="171" t="s">
        <v>49</v>
      </c>
      <c r="N41" s="171"/>
      <c r="O41" s="171"/>
      <c r="P41" s="171"/>
      <c r="Q41" s="171"/>
      <c r="R41" s="172"/>
      <c r="S41" s="172"/>
      <c r="T41" s="172"/>
      <c r="V41" s="3"/>
      <c r="W41" s="3"/>
      <c r="X41" s="3"/>
      <c r="Y41" s="3"/>
    </row>
    <row r="42" spans="3:25" x14ac:dyDescent="0.4">
      <c r="C42" s="61" t="s">
        <v>7</v>
      </c>
      <c r="D42" s="13">
        <f>IFERROR(VLOOKUP($C43&amp;"用途",C52:I66,2,0),0)</f>
        <v>0</v>
      </c>
      <c r="E42" s="6">
        <f>IFERROR(VLOOKUP($C43&amp;"用途",C52:I66,3,0),0)</f>
        <v>0</v>
      </c>
      <c r="F42" s="6">
        <f>IFERROR(VLOOKUP($C43&amp;"用途",C52:I66,4,0),0)</f>
        <v>0</v>
      </c>
      <c r="G42" s="6">
        <f>IFERROR(VLOOKUP($C43&amp;"用途",C52:I66,5,0),0)</f>
        <v>0</v>
      </c>
      <c r="H42" s="6">
        <f>IFERROR(VLOOKUP($C43&amp;"用途",C52:I66,6,0),0)</f>
        <v>0</v>
      </c>
      <c r="I42" s="6">
        <f>IFERROR(VLOOKUP($C43&amp;"用途",C52:I66,7,0),0)</f>
        <v>0</v>
      </c>
      <c r="J42" s="1"/>
      <c r="K42" s="61" t="s">
        <v>7</v>
      </c>
      <c r="L42" s="13">
        <f>IFERROR(VLOOKUP($K$43&amp;"用途",$K$52:$T$60,2,0),0)</f>
        <v>0</v>
      </c>
      <c r="M42" s="6">
        <f>IFERROR(VLOOKUP($K$43&amp;"用途",$K$52:$T$60,3,0),0)</f>
        <v>0</v>
      </c>
      <c r="N42" s="6">
        <f>IFERROR(VLOOKUP($K$43&amp;"用途",$K$52:$T$60,4,0),0)</f>
        <v>0</v>
      </c>
      <c r="O42" s="6">
        <f>IFERROR(VLOOKUP($K$43&amp;"用途",$K$52:$T$60,5,0),0)</f>
        <v>0</v>
      </c>
      <c r="P42" s="6">
        <f>IFERROR(VLOOKUP($K$43&amp;"用途",$K$52:$T$60,6,0),0)</f>
        <v>0</v>
      </c>
      <c r="Q42" s="6">
        <f>IFERROR(VLOOKUP($K$43&amp;"用途",$K$52:$T$60,7,0),0)</f>
        <v>0</v>
      </c>
      <c r="R42" s="6">
        <f>IFERROR(VLOOKUP($K$43&amp;"用途",$K$52:$T$60,8,0),0)</f>
        <v>0</v>
      </c>
      <c r="S42" s="6">
        <f>IFERROR(VLOOKUP($K$43&amp;"用途",$K$52:$T$60,9,0),0)</f>
        <v>0</v>
      </c>
      <c r="T42" s="6">
        <f>IFERROR(VLOOKUP($K$43&amp;"用途",$K$52:$T$60,10,0),0)</f>
        <v>0</v>
      </c>
      <c r="V42" s="3"/>
      <c r="W42" s="3"/>
      <c r="X42" s="3"/>
      <c r="Y42" s="3"/>
    </row>
    <row r="43" spans="3:25" x14ac:dyDescent="0.4">
      <c r="C43" s="61">
        <f>IFERROR(VLOOKUP($F$3,$R$29:$S$35,2,0),0)</f>
        <v>0</v>
      </c>
      <c r="D43" s="6">
        <f>IFERROR(VLOOKUP($C43,C52:I66,2,0),0)</f>
        <v>0</v>
      </c>
      <c r="E43" s="6">
        <f>IFERROR(VLOOKUP($C43,C52:I66,3,0),0)</f>
        <v>0</v>
      </c>
      <c r="F43" s="6">
        <f>IFERROR(VLOOKUP($C43,C52:I66,4,0),0)</f>
        <v>0</v>
      </c>
      <c r="G43" s="6">
        <f>IFERROR(VLOOKUP($C43,C52:I66,5,0),0)</f>
        <v>0</v>
      </c>
      <c r="H43" s="6">
        <f>IFERROR(VLOOKUP($C43,C52:I66,6,0),0)</f>
        <v>0</v>
      </c>
      <c r="I43" s="6">
        <f>IFERROR(VLOOKUP($C43,C52:I66,7,0),0)</f>
        <v>0</v>
      </c>
      <c r="J43" s="1"/>
      <c r="K43" s="61">
        <f>IFERROR(VLOOKUP($F$3,$R$29:$T$35,3,0),0)</f>
        <v>0</v>
      </c>
      <c r="L43" s="6">
        <f>IFERROR(VLOOKUP($K$43,$K$52:$T$60,2,0),0)</f>
        <v>0</v>
      </c>
      <c r="M43" s="6">
        <f>IFERROR(VLOOKUP($K$43,$K$52:$T$60,3,0),0)</f>
        <v>0</v>
      </c>
      <c r="N43" s="6">
        <f>IFERROR(VLOOKUP($K$43,$K$52:$T$60,4,0),0)</f>
        <v>0</v>
      </c>
      <c r="O43" s="6">
        <f>IFERROR(VLOOKUP($K$43,$K$52:$T$60,5,0),0)</f>
        <v>0</v>
      </c>
      <c r="P43" s="6">
        <f>IFERROR(VLOOKUP($K$43,$K$52:$T$60,6,0),0)</f>
        <v>0</v>
      </c>
      <c r="Q43" s="6">
        <f>IFERROR(VLOOKUP($K$43,$K$52:$T$60,7,0),0)</f>
        <v>0</v>
      </c>
      <c r="R43" s="6">
        <f>IFERROR(VLOOKUP($K$43,$K$52:$T$60,8,0),0)</f>
        <v>0</v>
      </c>
      <c r="S43" s="6">
        <f>IFERROR(VLOOKUP($K$43,$K$52:$T$60,9,0),0)</f>
        <v>0</v>
      </c>
      <c r="T43" s="6">
        <f>IFERROR(VLOOKUP($K$43,$K$52:$T$60,10,0),0)</f>
        <v>0</v>
      </c>
      <c r="V43" s="3"/>
      <c r="W43" s="3"/>
      <c r="X43" s="3"/>
      <c r="Y43" s="3"/>
    </row>
    <row r="44" spans="3:25" x14ac:dyDescent="0.4">
      <c r="E44" s="1"/>
      <c r="F44" s="1"/>
      <c r="G44" s="1"/>
      <c r="H44" s="1"/>
      <c r="I44" s="1"/>
      <c r="J44" s="1"/>
      <c r="K44" s="1"/>
      <c r="L44" s="1"/>
      <c r="V44" s="3"/>
      <c r="W44" s="3"/>
      <c r="X44" s="3"/>
      <c r="Y44" s="3"/>
    </row>
    <row r="45" spans="3:25" x14ac:dyDescent="0.4">
      <c r="C45" s="1" t="s">
        <v>1</v>
      </c>
      <c r="D45" s="173" t="s">
        <v>8</v>
      </c>
      <c r="E45" s="174" t="s">
        <v>59</v>
      </c>
      <c r="F45" s="174"/>
      <c r="G45" s="174"/>
      <c r="H45" s="174"/>
      <c r="I45" s="3"/>
      <c r="J45" s="1"/>
      <c r="K45" s="1" t="s">
        <v>1</v>
      </c>
      <c r="L45" s="173" t="s">
        <v>8</v>
      </c>
      <c r="M45" s="175" t="s">
        <v>49</v>
      </c>
      <c r="N45" s="175"/>
      <c r="O45" s="175"/>
      <c r="P45" s="175"/>
      <c r="Q45" s="175"/>
      <c r="R45" s="175"/>
      <c r="S45" s="175"/>
      <c r="V45" s="3"/>
      <c r="W45" s="3"/>
      <c r="X45" s="3"/>
      <c r="Y45" s="3"/>
    </row>
    <row r="46" spans="3:25" x14ac:dyDescent="0.4">
      <c r="C46" s="2"/>
      <c r="D46" s="173"/>
      <c r="E46" s="59" t="s">
        <v>55</v>
      </c>
      <c r="F46" s="59" t="s">
        <v>56</v>
      </c>
      <c r="G46" s="59" t="s">
        <v>57</v>
      </c>
      <c r="H46" s="59" t="s">
        <v>58</v>
      </c>
      <c r="I46" s="1"/>
      <c r="J46" s="1"/>
      <c r="L46" s="173"/>
      <c r="M46" s="59" t="s">
        <v>55</v>
      </c>
      <c r="N46" s="59" t="s">
        <v>56</v>
      </c>
      <c r="O46" s="59" t="s">
        <v>57</v>
      </c>
      <c r="P46" s="59" t="s">
        <v>58</v>
      </c>
      <c r="Q46" s="59" t="s">
        <v>60</v>
      </c>
      <c r="R46" s="59" t="s">
        <v>61</v>
      </c>
      <c r="S46" s="59" t="s">
        <v>62</v>
      </c>
      <c r="V46" s="3"/>
      <c r="W46" s="3"/>
      <c r="X46" s="3"/>
      <c r="Y46" s="3"/>
    </row>
    <row r="47" spans="3:25" x14ac:dyDescent="0.4">
      <c r="C47" s="119"/>
      <c r="D47" s="44">
        <f>IF($M$3-D42&gt;0,D42,$M$3)</f>
        <v>0</v>
      </c>
      <c r="E47" s="44">
        <f>IF($M$3-E42&gt;0,E42-D42,IF($M$3-D42&lt;0,0,$M$3-D42))</f>
        <v>0</v>
      </c>
      <c r="F47" s="44">
        <f>IF(E42=999999999,0,IF($M$3-F42&gt;0,F42-E42,IF($M$3-E42&lt;0,0,$M$3-E42)))</f>
        <v>0</v>
      </c>
      <c r="G47" s="44">
        <f>IF($M$3-G42&gt;0,G42-F42,IF($M$3-F42&lt;0,0,$M$3-F42))</f>
        <v>0</v>
      </c>
      <c r="H47" s="44">
        <f>IF($M$3-H42&gt;0,H42-G42,IF($M$3-G42&lt;0,0,$M$3-G42))</f>
        <v>0</v>
      </c>
      <c r="I47" s="3"/>
      <c r="L47" s="45">
        <f>IF($M$3-L42&gt;0,L42,$M$3)</f>
        <v>0</v>
      </c>
      <c r="M47" s="45">
        <f>IF($M$3-M42&gt;0,M42-L42,IF($M$3-L42&lt;0,0,$M$3-L42))</f>
        <v>0</v>
      </c>
      <c r="N47" s="45">
        <f>IF(M42=999999999,0,IF($M$3-N42&gt;0,N42-M42,IF($M$3-M42&lt;0,0,$M$3-M42)))</f>
        <v>0</v>
      </c>
      <c r="O47" s="45">
        <f>IF($M$3-O42&gt;0,O42-N42,IF($M$3-N42&lt;0,0,$M$3-N42))</f>
        <v>0</v>
      </c>
      <c r="P47" s="45">
        <f>IF($M$3-P42&gt;0,P42-O42,IF($M$3-O42&lt;0,0,$M$3-O42))</f>
        <v>0</v>
      </c>
      <c r="Q47" s="45">
        <f>IF($M$3-Q42&gt;0,Q42-P42,IF($M$3-P42&lt;0,0,$M$3-P42))</f>
        <v>0</v>
      </c>
      <c r="R47" s="45">
        <f>IF($M$3-R42&gt;0,R42-Q42,IF($M$3-Q42&lt;0,0,$M$3-Q42))</f>
        <v>0</v>
      </c>
      <c r="S47" s="45">
        <f>IF($M$3-S42&gt;0,S42-R42,IF($M$3-R42&lt;0,0,$M$3-R42))</f>
        <v>0</v>
      </c>
    </row>
    <row r="48" spans="3:25" ht="19.5" thickBot="1" x14ac:dyDescent="0.45">
      <c r="C48" s="120" t="s">
        <v>54</v>
      </c>
      <c r="D48" s="7">
        <f>VLOOKUP($C$43,$C$43:$I$43,2,0)</f>
        <v>0</v>
      </c>
      <c r="E48" s="7">
        <f>VLOOKUP($C$43,$C$43:$I$43,3,0)</f>
        <v>0</v>
      </c>
      <c r="F48" s="7">
        <f>VLOOKUP($C$43,$C$43:$I$43,4,0)</f>
        <v>0</v>
      </c>
      <c r="G48" s="7">
        <f>VLOOKUP($C$43,$C$43:$I$43,5,0)</f>
        <v>0</v>
      </c>
      <c r="H48" s="7">
        <f>VLOOKUP($C$43,$C$43:$I$43,6,0)</f>
        <v>0</v>
      </c>
      <c r="I48" s="3"/>
      <c r="L48" s="7">
        <f>VLOOKUP($K$43,$K$43:$T$43,2,0)</f>
        <v>0</v>
      </c>
      <c r="M48" s="7">
        <f>VLOOKUP($K$43,$K$43:$T$43,3,0)</f>
        <v>0</v>
      </c>
      <c r="N48" s="7">
        <f>VLOOKUP($K$43,$K$43:$T$43,4,0)</f>
        <v>0</v>
      </c>
      <c r="O48" s="7">
        <f>VLOOKUP($K$43,$K$43:$T$43,5,0)</f>
        <v>0</v>
      </c>
      <c r="P48" s="7">
        <f>VLOOKUP($K$43,$K$43:$T$43,6,0)</f>
        <v>0</v>
      </c>
      <c r="Q48" s="7">
        <f>VLOOKUP($K$43,$K$43:$T$43,7,0)</f>
        <v>0</v>
      </c>
      <c r="R48" s="7">
        <f>VLOOKUP($K$43,$K$43:$T$43,8,0)</f>
        <v>0</v>
      </c>
      <c r="S48" s="7">
        <f>VLOOKUP($K$43,$K$43:$T$43,9,0)</f>
        <v>0</v>
      </c>
    </row>
    <row r="49" spans="3:24" ht="19.5" thickBot="1" x14ac:dyDescent="0.45">
      <c r="C49" s="8">
        <f>IFERROR(HLOOKUP($D$3,$D$68:$L$69,2,0),0)</f>
        <v>0</v>
      </c>
      <c r="D49" s="9">
        <f>IF($J$3="",0,D48)</f>
        <v>0</v>
      </c>
      <c r="E49" s="6">
        <f>E47*E48</f>
        <v>0</v>
      </c>
      <c r="F49" s="6">
        <f>F47*F48</f>
        <v>0</v>
      </c>
      <c r="G49" s="6">
        <f>G47*G48</f>
        <v>0</v>
      </c>
      <c r="H49" s="6">
        <f>H47*H48</f>
        <v>0</v>
      </c>
      <c r="I49" s="3"/>
      <c r="L49" s="6">
        <f>L48</f>
        <v>0</v>
      </c>
      <c r="M49" s="6">
        <f t="shared" ref="M49:S49" si="1">M47*M48</f>
        <v>0</v>
      </c>
      <c r="N49" s="6">
        <f t="shared" si="1"/>
        <v>0</v>
      </c>
      <c r="O49" s="6">
        <f t="shared" si="1"/>
        <v>0</v>
      </c>
      <c r="P49" s="6">
        <f t="shared" si="1"/>
        <v>0</v>
      </c>
      <c r="Q49" s="6">
        <f t="shared" si="1"/>
        <v>0</v>
      </c>
      <c r="R49" s="6">
        <f t="shared" si="1"/>
        <v>0</v>
      </c>
      <c r="S49" s="6">
        <f t="shared" si="1"/>
        <v>0</v>
      </c>
    </row>
    <row r="50" spans="3:24" x14ac:dyDescent="0.4">
      <c r="E50" s="1"/>
      <c r="F50" s="1"/>
      <c r="G50" s="1"/>
      <c r="H50" s="1"/>
      <c r="I50" s="1"/>
      <c r="J50" s="1"/>
      <c r="K50" s="1"/>
      <c r="L50" s="1"/>
    </row>
    <row r="51" spans="3:24" x14ac:dyDescent="0.4">
      <c r="C51" s="1" t="s">
        <v>72</v>
      </c>
      <c r="D51" s="1"/>
      <c r="E51" s="1"/>
      <c r="F51" s="1"/>
      <c r="G51" s="1"/>
      <c r="H51" s="1"/>
      <c r="I51" s="1" t="s">
        <v>21</v>
      </c>
      <c r="K51" s="1" t="s">
        <v>74</v>
      </c>
      <c r="L51" s="1"/>
      <c r="M51" s="3"/>
      <c r="N51" s="3"/>
      <c r="O51" s="3"/>
      <c r="P51" s="3"/>
      <c r="Q51" s="3"/>
      <c r="R51" s="3"/>
      <c r="T51" s="3" t="s">
        <v>22</v>
      </c>
    </row>
    <row r="52" spans="3:24" x14ac:dyDescent="0.4">
      <c r="C52" s="61" t="s">
        <v>7</v>
      </c>
      <c r="D52" s="61" t="s">
        <v>2</v>
      </c>
      <c r="E52" s="40"/>
      <c r="F52" s="31"/>
      <c r="G52" s="31" t="s">
        <v>49</v>
      </c>
      <c r="H52" s="31"/>
      <c r="I52" s="60"/>
      <c r="K52" s="61" t="s">
        <v>7</v>
      </c>
      <c r="L52" s="33" t="s">
        <v>48</v>
      </c>
      <c r="M52" s="58"/>
      <c r="N52" s="35"/>
      <c r="O52" s="35"/>
      <c r="P52" s="35" t="s">
        <v>23</v>
      </c>
      <c r="Q52" s="35"/>
      <c r="R52" s="35"/>
      <c r="S52" s="35"/>
      <c r="T52" s="121"/>
    </row>
    <row r="53" spans="3:24" x14ac:dyDescent="0.4">
      <c r="C53" s="43" t="str">
        <f>C54&amp;"用途"</f>
        <v>家庭用用途</v>
      </c>
      <c r="D53" s="14">
        <v>8</v>
      </c>
      <c r="E53" s="4">
        <v>20</v>
      </c>
      <c r="F53" s="4">
        <v>40</v>
      </c>
      <c r="G53" s="4">
        <v>60</v>
      </c>
      <c r="H53" s="6">
        <v>999999999</v>
      </c>
      <c r="I53" s="4"/>
      <c r="K53" s="41" t="str">
        <f>K54&amp;"用途"</f>
        <v>一般用用途</v>
      </c>
      <c r="L53" s="4">
        <v>10</v>
      </c>
      <c r="M53" s="5">
        <v>20</v>
      </c>
      <c r="N53" s="5">
        <v>30</v>
      </c>
      <c r="O53" s="5">
        <v>50</v>
      </c>
      <c r="P53" s="5">
        <v>100</v>
      </c>
      <c r="Q53" s="5">
        <v>500</v>
      </c>
      <c r="R53" s="5">
        <v>1000</v>
      </c>
      <c r="S53" s="6">
        <v>999999999</v>
      </c>
      <c r="T53" s="6"/>
    </row>
    <row r="54" spans="3:24" x14ac:dyDescent="0.4">
      <c r="C54" s="32" t="s">
        <v>5</v>
      </c>
      <c r="D54" s="4">
        <v>910</v>
      </c>
      <c r="E54" s="4">
        <v>143</v>
      </c>
      <c r="F54" s="4">
        <v>174</v>
      </c>
      <c r="G54" s="4">
        <v>185</v>
      </c>
      <c r="H54" s="4">
        <v>202</v>
      </c>
      <c r="I54" s="4"/>
      <c r="K54" s="32" t="s">
        <v>24</v>
      </c>
      <c r="L54" s="4">
        <v>1342</v>
      </c>
      <c r="M54" s="5">
        <v>146</v>
      </c>
      <c r="N54" s="5">
        <v>170</v>
      </c>
      <c r="O54" s="5">
        <v>195</v>
      </c>
      <c r="P54" s="5">
        <v>219</v>
      </c>
      <c r="Q54" s="5">
        <v>244</v>
      </c>
      <c r="R54" s="5">
        <v>268</v>
      </c>
      <c r="S54" s="5">
        <v>292</v>
      </c>
      <c r="T54" s="5"/>
    </row>
    <row r="55" spans="3:24" x14ac:dyDescent="0.4">
      <c r="C55" s="43" t="str">
        <f>C56&amp;"用途"</f>
        <v>営業用用途</v>
      </c>
      <c r="D55" s="14">
        <v>8</v>
      </c>
      <c r="E55" s="4">
        <v>20</v>
      </c>
      <c r="F55" s="4">
        <v>40</v>
      </c>
      <c r="G55" s="4">
        <v>500</v>
      </c>
      <c r="H55" s="6">
        <v>999999999</v>
      </c>
      <c r="I55" s="4"/>
      <c r="K55" s="36" t="str">
        <f>K56&amp;"用途"</f>
        <v>低所得者用用途</v>
      </c>
      <c r="L55" s="4">
        <v>10</v>
      </c>
      <c r="M55" s="5">
        <v>20</v>
      </c>
      <c r="N55" s="5">
        <v>30</v>
      </c>
      <c r="O55" s="6">
        <v>999999999</v>
      </c>
      <c r="P55" s="15"/>
      <c r="Q55" s="5"/>
      <c r="R55" s="5"/>
      <c r="S55" s="5"/>
      <c r="T55" s="5"/>
    </row>
    <row r="56" spans="3:24" x14ac:dyDescent="0.4">
      <c r="C56" s="32" t="s">
        <v>15</v>
      </c>
      <c r="D56" s="4">
        <v>910</v>
      </c>
      <c r="E56" s="4">
        <v>143</v>
      </c>
      <c r="F56" s="4">
        <v>189</v>
      </c>
      <c r="G56" s="4">
        <v>239</v>
      </c>
      <c r="H56" s="4">
        <v>249</v>
      </c>
      <c r="I56" s="4"/>
      <c r="K56" s="34" t="s">
        <v>25</v>
      </c>
      <c r="L56" s="4">
        <v>671</v>
      </c>
      <c r="M56" s="5">
        <v>73</v>
      </c>
      <c r="N56" s="5">
        <v>85</v>
      </c>
      <c r="O56" s="5">
        <v>109</v>
      </c>
      <c r="P56" s="5"/>
      <c r="Q56" s="5"/>
      <c r="R56" s="5"/>
      <c r="S56" s="5"/>
      <c r="T56" s="5"/>
    </row>
    <row r="57" spans="3:24" x14ac:dyDescent="0.4">
      <c r="C57" s="43" t="str">
        <f>C58&amp;"用途"</f>
        <v>官公署用途</v>
      </c>
      <c r="D57" s="14">
        <v>10</v>
      </c>
      <c r="E57" s="4">
        <v>20</v>
      </c>
      <c r="F57" s="4">
        <v>100</v>
      </c>
      <c r="G57" s="4">
        <v>1000</v>
      </c>
      <c r="H57" s="6">
        <v>999999999</v>
      </c>
      <c r="I57" s="4"/>
      <c r="K57" s="36" t="str">
        <f>K58&amp;"用途"</f>
        <v>一時使用用用途</v>
      </c>
      <c r="L57" s="4">
        <v>50</v>
      </c>
      <c r="M57" s="6">
        <v>999999999</v>
      </c>
      <c r="N57" s="5"/>
      <c r="O57" s="5"/>
      <c r="P57" s="5"/>
      <c r="Q57" s="5"/>
      <c r="R57" s="5"/>
      <c r="S57" s="5"/>
      <c r="T57" s="5"/>
    </row>
    <row r="58" spans="3:24" x14ac:dyDescent="0.4">
      <c r="C58" s="32" t="s">
        <v>16</v>
      </c>
      <c r="D58" s="4">
        <v>2410</v>
      </c>
      <c r="E58" s="4">
        <v>214</v>
      </c>
      <c r="F58" s="4">
        <v>242</v>
      </c>
      <c r="G58" s="4">
        <v>276</v>
      </c>
      <c r="H58" s="4">
        <v>310</v>
      </c>
      <c r="I58" s="4"/>
      <c r="K58" s="34" t="s">
        <v>26</v>
      </c>
      <c r="L58" s="4">
        <v>14640</v>
      </c>
      <c r="M58" s="5">
        <v>292</v>
      </c>
      <c r="N58" s="5"/>
      <c r="O58" s="5"/>
      <c r="P58" s="5"/>
      <c r="Q58" s="5"/>
      <c r="R58" s="5"/>
      <c r="S58" s="5"/>
      <c r="T58" s="5"/>
      <c r="V58" s="3"/>
      <c r="W58" s="3"/>
      <c r="X58" s="3"/>
    </row>
    <row r="59" spans="3:24" x14ac:dyDescent="0.4">
      <c r="C59" s="43" t="str">
        <f>C60&amp;"用途"</f>
        <v>工場用用途</v>
      </c>
      <c r="D59" s="14">
        <v>10</v>
      </c>
      <c r="E59" s="4">
        <v>20</v>
      </c>
      <c r="F59" s="4">
        <v>100</v>
      </c>
      <c r="G59" s="4">
        <v>1000</v>
      </c>
      <c r="H59" s="6">
        <v>999999999</v>
      </c>
      <c r="I59" s="4"/>
      <c r="K59" s="36" t="str">
        <f>K60&amp;"用途"</f>
        <v>公衆浴場用用途</v>
      </c>
      <c r="L59" s="4"/>
      <c r="M59" s="6">
        <v>300</v>
      </c>
      <c r="N59" s="6">
        <v>999999999</v>
      </c>
      <c r="O59" s="5"/>
      <c r="P59" s="5"/>
      <c r="Q59" s="5"/>
      <c r="R59" s="5"/>
      <c r="S59" s="5"/>
      <c r="T59" s="5"/>
      <c r="V59" s="3"/>
      <c r="W59" s="3"/>
      <c r="X59" s="3"/>
    </row>
    <row r="60" spans="3:24" x14ac:dyDescent="0.4">
      <c r="C60" s="32" t="s">
        <v>17</v>
      </c>
      <c r="D60" s="4">
        <v>2410</v>
      </c>
      <c r="E60" s="4">
        <v>243</v>
      </c>
      <c r="F60" s="4">
        <v>289</v>
      </c>
      <c r="G60" s="4">
        <v>328</v>
      </c>
      <c r="H60" s="4">
        <v>336</v>
      </c>
      <c r="I60" s="4"/>
      <c r="K60" s="34" t="s">
        <v>27</v>
      </c>
      <c r="L60" s="4"/>
      <c r="M60" s="5">
        <v>42</v>
      </c>
      <c r="N60" s="5">
        <v>54</v>
      </c>
      <c r="O60" s="5"/>
      <c r="P60" s="5"/>
      <c r="Q60" s="5"/>
      <c r="R60" s="5"/>
      <c r="S60" s="5"/>
      <c r="T60" s="5"/>
    </row>
    <row r="61" spans="3:24" x14ac:dyDescent="0.4">
      <c r="C61" s="43" t="str">
        <f>C62&amp;"用途"</f>
        <v>低所用用途</v>
      </c>
      <c r="D61" s="14">
        <v>8</v>
      </c>
      <c r="E61" s="4">
        <v>20</v>
      </c>
      <c r="F61" s="4">
        <v>40</v>
      </c>
      <c r="G61" s="4">
        <v>60</v>
      </c>
      <c r="H61" s="6">
        <v>999999999</v>
      </c>
      <c r="I61" s="4"/>
      <c r="J61" s="1"/>
      <c r="K61" s="1"/>
      <c r="L61" s="1"/>
      <c r="M61" s="3"/>
      <c r="N61" s="3"/>
      <c r="O61" s="3"/>
      <c r="P61" s="3"/>
      <c r="Q61" s="3"/>
      <c r="R61" s="3"/>
      <c r="S61" s="3"/>
      <c r="T61" s="3"/>
    </row>
    <row r="62" spans="3:24" x14ac:dyDescent="0.4">
      <c r="C62" s="32" t="s">
        <v>18</v>
      </c>
      <c r="D62" s="4">
        <v>540</v>
      </c>
      <c r="E62" s="4">
        <v>86</v>
      </c>
      <c r="F62" s="4">
        <v>104</v>
      </c>
      <c r="G62" s="4">
        <v>111</v>
      </c>
      <c r="H62" s="4">
        <v>121</v>
      </c>
      <c r="I62" s="4"/>
      <c r="J62" s="1"/>
      <c r="L62" s="1"/>
      <c r="M62" s="1"/>
      <c r="N62" s="1"/>
      <c r="O62" s="1"/>
      <c r="P62" s="1"/>
      <c r="Q62" s="3"/>
      <c r="R62" s="3"/>
      <c r="S62" s="3"/>
      <c r="T62" s="3"/>
      <c r="U62" s="3"/>
    </row>
    <row r="63" spans="3:24" x14ac:dyDescent="0.4">
      <c r="C63" s="43" t="str">
        <f>C64&amp;"用途"</f>
        <v>浴場用用途</v>
      </c>
      <c r="D63" s="14">
        <v>8</v>
      </c>
      <c r="E63" s="4">
        <v>20</v>
      </c>
      <c r="F63" s="6">
        <v>999999999</v>
      </c>
      <c r="G63" s="4"/>
      <c r="H63" s="4"/>
      <c r="I63" s="4"/>
      <c r="J63" s="1"/>
      <c r="K63" s="1"/>
      <c r="L63" s="1"/>
      <c r="M63" s="1"/>
      <c r="N63" s="1"/>
      <c r="O63" s="1"/>
      <c r="P63" s="1"/>
      <c r="Q63" s="3"/>
      <c r="R63" s="3"/>
      <c r="S63" s="3"/>
      <c r="T63" s="3"/>
      <c r="U63" s="3"/>
    </row>
    <row r="64" spans="3:24" x14ac:dyDescent="0.4">
      <c r="C64" s="32" t="s">
        <v>19</v>
      </c>
      <c r="D64" s="4">
        <v>910</v>
      </c>
      <c r="E64" s="4">
        <v>143</v>
      </c>
      <c r="F64" s="4">
        <v>86</v>
      </c>
      <c r="G64" s="4"/>
      <c r="H64" s="4"/>
      <c r="I64" s="4"/>
      <c r="J64" s="1"/>
      <c r="K64" s="1"/>
      <c r="L64" s="1"/>
      <c r="M64" s="1"/>
      <c r="N64" s="1"/>
      <c r="O64" s="1"/>
      <c r="P64" s="1"/>
    </row>
    <row r="65" spans="3:14" x14ac:dyDescent="0.4">
      <c r="C65" s="43" t="str">
        <f>C66&amp;"用途"</f>
        <v>臨時用用途</v>
      </c>
      <c r="D65" s="14">
        <v>25</v>
      </c>
      <c r="E65" s="6">
        <v>999999999</v>
      </c>
      <c r="F65" s="4"/>
      <c r="G65" s="4"/>
      <c r="H65" s="6"/>
      <c r="I65" s="4"/>
      <c r="J65" s="1"/>
      <c r="K65" s="1"/>
      <c r="L65" s="1"/>
      <c r="M65" s="1"/>
    </row>
    <row r="66" spans="3:14" x14ac:dyDescent="0.4">
      <c r="C66" s="32" t="s">
        <v>20</v>
      </c>
      <c r="D66" s="4">
        <v>7890</v>
      </c>
      <c r="E66" s="4">
        <v>315</v>
      </c>
      <c r="F66" s="4"/>
      <c r="G66" s="4"/>
      <c r="H66" s="4"/>
      <c r="I66" s="4"/>
      <c r="J66" s="1"/>
      <c r="K66" s="1"/>
      <c r="L66" s="1"/>
      <c r="M66" s="1"/>
      <c r="N66" s="1"/>
    </row>
    <row r="67" spans="3:14" x14ac:dyDescent="0.4">
      <c r="C67" s="3"/>
    </row>
    <row r="68" spans="3:14" x14ac:dyDescent="0.4">
      <c r="C68" s="61" t="s">
        <v>3</v>
      </c>
      <c r="D68" s="42">
        <v>13</v>
      </c>
      <c r="E68" s="42">
        <v>20</v>
      </c>
      <c r="F68" s="42">
        <v>25</v>
      </c>
      <c r="G68" s="42">
        <v>40</v>
      </c>
      <c r="H68" s="42">
        <v>50</v>
      </c>
      <c r="I68" s="42">
        <v>75</v>
      </c>
      <c r="J68" s="42">
        <v>100</v>
      </c>
      <c r="K68" s="42">
        <v>125</v>
      </c>
      <c r="L68" s="42">
        <v>150</v>
      </c>
    </row>
    <row r="69" spans="3:14" x14ac:dyDescent="0.4">
      <c r="C69" s="33" t="s">
        <v>0</v>
      </c>
      <c r="D69" s="6">
        <v>40</v>
      </c>
      <c r="E69" s="6">
        <v>80</v>
      </c>
      <c r="F69" s="6">
        <v>90</v>
      </c>
      <c r="G69" s="6">
        <v>160</v>
      </c>
      <c r="H69" s="6">
        <v>900</v>
      </c>
      <c r="I69" s="6">
        <v>1200</v>
      </c>
      <c r="J69" s="6">
        <v>1500</v>
      </c>
      <c r="K69" s="6">
        <v>1500</v>
      </c>
      <c r="L69" s="6">
        <v>2900</v>
      </c>
    </row>
  </sheetData>
  <mergeCells count="14">
    <mergeCell ref="E7:I7"/>
    <mergeCell ref="M7:T7"/>
    <mergeCell ref="V7:W7"/>
    <mergeCell ref="X7:Y7"/>
    <mergeCell ref="D11:D12"/>
    <mergeCell ref="E11:H11"/>
    <mergeCell ref="L11:L12"/>
    <mergeCell ref="M11:S11"/>
    <mergeCell ref="E41:I41"/>
    <mergeCell ref="M41:T41"/>
    <mergeCell ref="D45:D46"/>
    <mergeCell ref="E45:H45"/>
    <mergeCell ref="L45:L46"/>
    <mergeCell ref="M45:S4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宇治市 (改定前)</vt:lpstr>
      <vt:lpstr>計算シート (改定前)</vt:lpstr>
      <vt:lpstr>'宇治市 (改定前)'!Print_Area</vt:lpstr>
      <vt:lpstr>口径</vt:lpstr>
      <vt:lpstr>用途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02988</cp:lastModifiedBy>
  <dcterms:modified xsi:type="dcterms:W3CDTF">2022-03-31T07:47:07Z</dcterms:modified>
</cp:coreProperties>
</file>